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4245" activeTab="0"/>
  </bookViews>
  <sheets>
    <sheet name="P&amp;L" sheetId="1" r:id="rId1"/>
    <sheet name="BS" sheetId="2" r:id="rId2"/>
    <sheet name="CF" sheetId="3" r:id="rId3"/>
    <sheet name="Equity" sheetId="4" r:id="rId4"/>
    <sheet name="Notes" sheetId="5" r:id="rId5"/>
  </sheets>
  <externalReferences>
    <externalReference r:id="rId8"/>
  </externalReferences>
  <definedNames>
    <definedName name="_xlnm.Print_Area" localSheetId="1">'BS'!$A$1:$E$64</definedName>
    <definedName name="_xlnm.Print_Area" localSheetId="0">'P&amp;L'!$A$1:$H$58</definedName>
  </definedNames>
  <calcPr fullCalcOnLoad="1"/>
</workbook>
</file>

<file path=xl/sharedStrings.xml><?xml version="1.0" encoding="utf-8"?>
<sst xmlns="http://schemas.openxmlformats.org/spreadsheetml/2006/main" count="224" uniqueCount="172">
  <si>
    <r>
      <t>DeGem Berhad</t>
    </r>
    <r>
      <rPr>
        <b/>
        <sz val="12"/>
        <rFont val="Times New Roman"/>
        <family val="1"/>
      </rPr>
      <t xml:space="preserve"> </t>
    </r>
    <r>
      <rPr>
        <b/>
        <sz val="10"/>
        <rFont val="Times New Roman"/>
        <family val="1"/>
      </rPr>
      <t>(Company No : 415726 - T)</t>
    </r>
  </si>
  <si>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</si>
  <si>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</si>
  <si>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</si>
  <si>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</si>
  <si>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</si>
  <si>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</si>
  <si>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</si>
  <si>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</si>
  <si>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</si>
  <si>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</si>
  <si>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30.09.2002</t>
  </si>
  <si>
    <t>30.09.2001</t>
  </si>
  <si>
    <t>RM'000</t>
  </si>
  <si>
    <t>Revenue</t>
  </si>
  <si>
    <t>Operating expenses</t>
  </si>
  <si>
    <t>Other operating income</t>
  </si>
  <si>
    <t>Profit from operations</t>
  </si>
  <si>
    <t>Finance costs</t>
  </si>
  <si>
    <t>Profit before taxation</t>
  </si>
  <si>
    <t>Taxation</t>
  </si>
  <si>
    <t>Profit after taxation</t>
  </si>
  <si>
    <t>Minority interests</t>
  </si>
  <si>
    <t>Net profit for the period</t>
  </si>
  <si>
    <t xml:space="preserve">   - basic (sen)</t>
  </si>
  <si>
    <t>Net dividend per share (sen)</t>
  </si>
  <si>
    <r>
      <t xml:space="preserve">DeGem Berhad </t>
    </r>
    <r>
      <rPr>
        <b/>
        <sz val="10"/>
        <rFont val="Times New Roman"/>
        <family val="1"/>
      </rPr>
      <t>(Company No : 415726 - T)</t>
    </r>
  </si>
  <si>
    <t>QUARTERLY REPORT ON CONSOLIDATED RESULTS</t>
  </si>
  <si>
    <t>FOR THE THIRD FINANCIAL QUARTER ENDED 30 SEPTEMBER 2002</t>
  </si>
  <si>
    <t>These figures have not been audited.</t>
  </si>
  <si>
    <t>CONDENSED CONSOLIDATED BALANCE SHEETS</t>
  </si>
  <si>
    <t>AS AT END OF</t>
  </si>
  <si>
    <t>PRECEDING</t>
  </si>
  <si>
    <t>FINANCIAL</t>
  </si>
  <si>
    <t>YEAR END</t>
  </si>
  <si>
    <t>(Unaudited)</t>
  </si>
  <si>
    <t>(Audited)</t>
  </si>
  <si>
    <t>31.12.2001</t>
  </si>
  <si>
    <t>PROPERTY, PLANT AND EQUIPMENT</t>
  </si>
  <si>
    <t>CURRENT ASSETS</t>
  </si>
  <si>
    <t>Inventories</t>
  </si>
  <si>
    <t>Trade Receivables</t>
  </si>
  <si>
    <t>Other Receivables, Deposits and Prepayment</t>
  </si>
  <si>
    <t>Cash and Bank Balances</t>
  </si>
  <si>
    <t>Amount due from Ultimate Holding Company</t>
  </si>
  <si>
    <t>CURRENT LIABILITIES</t>
  </si>
  <si>
    <t>Trade Payables</t>
  </si>
  <si>
    <t>Other Payables and Accruals</t>
  </si>
  <si>
    <t>Bank Overdraft</t>
  </si>
  <si>
    <t>Short Term Borrowings</t>
  </si>
  <si>
    <t>Hire Purchase Creditors</t>
  </si>
  <si>
    <t>Provision for Taxation</t>
  </si>
  <si>
    <t>Amount due to Ultimate Holding Company</t>
  </si>
  <si>
    <t xml:space="preserve">Net Current Assets </t>
  </si>
  <si>
    <t>SHARE CAPITAL</t>
  </si>
  <si>
    <t>SHARE PREMIUM</t>
  </si>
  <si>
    <t>REATINED PROFITS</t>
  </si>
  <si>
    <t>SHAREHOLDERS' FUND</t>
  </si>
  <si>
    <t>MINORITY INTERESTS</t>
  </si>
  <si>
    <t>DEFERRED AND LONG TERM LIABILITIES</t>
  </si>
  <si>
    <t>Long Term Borrowings</t>
  </si>
  <si>
    <t>Deferred Taxation</t>
  </si>
  <si>
    <t>Net Tangible Assets Per Share (RM)</t>
  </si>
  <si>
    <t xml:space="preserve">Share </t>
  </si>
  <si>
    <t xml:space="preserve">Retained </t>
  </si>
  <si>
    <t>Capital</t>
  </si>
  <si>
    <t>Premium</t>
  </si>
  <si>
    <t>Profits</t>
  </si>
  <si>
    <t>Total</t>
  </si>
  <si>
    <t>At 1 January 2002</t>
  </si>
  <si>
    <t>Profit for the period</t>
  </si>
  <si>
    <t>Dividend paid</t>
  </si>
  <si>
    <t>At 30 September 2002</t>
  </si>
  <si>
    <t>CONDENSED CONSOLIDATED CASH FLOW STATEMENT</t>
  </si>
  <si>
    <t>Master</t>
  </si>
  <si>
    <t>ADJUSTMENTS</t>
  </si>
  <si>
    <t>CASH FLOW FROM OPERATING ACTIVITIES</t>
  </si>
  <si>
    <t>Adjustments for:</t>
  </si>
  <si>
    <t xml:space="preserve">    Depreciation of property, plant &amp; equipment</t>
  </si>
  <si>
    <t xml:space="preserve">    Interest expense</t>
  </si>
  <si>
    <t xml:space="preserve">    Property, plant &amp; equipment written off</t>
  </si>
  <si>
    <t xml:space="preserve">    Gain on disposal of property, plant &amp; equipment</t>
  </si>
  <si>
    <t>Operating profit before working capital changes</t>
  </si>
  <si>
    <t>Debtors</t>
  </si>
  <si>
    <t>Creditors</t>
  </si>
  <si>
    <t>Cash Generated from operations</t>
  </si>
  <si>
    <t>Interest expense</t>
  </si>
  <si>
    <t>Income tax paid</t>
  </si>
  <si>
    <t>Net cash generate from operating activities</t>
  </si>
  <si>
    <t>CASH FLOW FROM INVESTING ACTIVITIES</t>
  </si>
  <si>
    <t>Acquisition of property, plant and equipment</t>
  </si>
  <si>
    <t>Disposal of property, plant and equipment</t>
  </si>
  <si>
    <t>CASH FLOW FROM FINANCING ACTIVITIES</t>
  </si>
  <si>
    <t>Repayment of hire purchase creditors</t>
  </si>
  <si>
    <t>Repayment of bank borrowings</t>
  </si>
  <si>
    <t>Proceeds from hire purchase creditors</t>
  </si>
  <si>
    <t>NET DECREASE IN CASH AND CASH EQUIVALENTS</t>
  </si>
  <si>
    <t>OPENING CASH AND CASH EQUIVALENTS</t>
  </si>
  <si>
    <t>CLOSING CASH AND CASH EQUIVALENTS</t>
  </si>
  <si>
    <t>Cash and cash equivalents comprise the following:</t>
  </si>
  <si>
    <t>Cash and bank balances</t>
  </si>
  <si>
    <t>Bank overdraft</t>
  </si>
  <si>
    <t>NOTES TO THE INTERIM FINANCIAL REPORT</t>
  </si>
  <si>
    <t>1.</t>
  </si>
  <si>
    <t>Accounting Policies and Methods of Computation</t>
  </si>
  <si>
    <t>2.</t>
  </si>
  <si>
    <t>Qualification of Financial Statement</t>
  </si>
  <si>
    <t>3.</t>
  </si>
  <si>
    <t>Unusual Items</t>
  </si>
  <si>
    <t>4.</t>
  </si>
  <si>
    <t>Changes in Estimates</t>
  </si>
  <si>
    <t>5.</t>
  </si>
  <si>
    <t>Valuations of Property, Plant &amp; Equipment</t>
  </si>
  <si>
    <t>The Group did not carry out any valuations on its property, plant &amp; equipment.</t>
  </si>
  <si>
    <t>6.</t>
  </si>
  <si>
    <t>Current</t>
  </si>
  <si>
    <t>Quarter</t>
  </si>
  <si>
    <t>Year to Date</t>
  </si>
  <si>
    <t>Based on results for the period</t>
  </si>
  <si>
    <t>- Current taxation</t>
  </si>
  <si>
    <t>- Deferred taxation</t>
  </si>
  <si>
    <t>7.</t>
  </si>
  <si>
    <t>Sale of Unquoted Investments or Properties</t>
  </si>
  <si>
    <t>8.</t>
  </si>
  <si>
    <t>Quoted Securities</t>
  </si>
  <si>
    <t>9.</t>
  </si>
  <si>
    <t>Changes in the Composition of the Company</t>
  </si>
  <si>
    <t>10.</t>
  </si>
  <si>
    <t>Status of Corporate Proposals Announced</t>
  </si>
  <si>
    <t>On 8 August 2002, the Company proposed to implement the following:-</t>
  </si>
  <si>
    <t>(I)</t>
  </si>
  <si>
    <t xml:space="preserve">(ii) </t>
  </si>
  <si>
    <t xml:space="preserve">(iii) </t>
  </si>
  <si>
    <t>11.</t>
  </si>
  <si>
    <t>12.</t>
  </si>
  <si>
    <t>Group Borrowings</t>
  </si>
  <si>
    <t>Secured</t>
  </si>
  <si>
    <t xml:space="preserve">Short Term Borrowings </t>
  </si>
  <si>
    <t>Bank overdrafts</t>
  </si>
  <si>
    <t>Hire purchase creditors</t>
  </si>
  <si>
    <t>Current portion of long term loans</t>
  </si>
  <si>
    <t xml:space="preserve">Long Term Borrowings </t>
  </si>
  <si>
    <t>Term loans</t>
  </si>
  <si>
    <t>13.</t>
  </si>
  <si>
    <t>Contingent Liabilities</t>
  </si>
  <si>
    <t>14.</t>
  </si>
  <si>
    <t>Off Balance Sheet Financial Instruments</t>
  </si>
  <si>
    <t>15.</t>
  </si>
  <si>
    <t xml:space="preserve">Material Litigation </t>
  </si>
  <si>
    <t>16.</t>
  </si>
  <si>
    <t>Segment Reporting</t>
  </si>
  <si>
    <t>17.</t>
  </si>
  <si>
    <t>Material Changes in Current Quarter Results compared to Preceding Quarter</t>
  </si>
  <si>
    <t>18.</t>
  </si>
  <si>
    <t>Review of Performance</t>
  </si>
  <si>
    <t>19.</t>
  </si>
  <si>
    <t>Subsequent Material Events</t>
  </si>
  <si>
    <t>20.</t>
  </si>
  <si>
    <t>Seasonality or Cyclicality of Operations</t>
  </si>
  <si>
    <t>21.</t>
  </si>
  <si>
    <t>Current Year Prospects</t>
  </si>
  <si>
    <t>22.</t>
  </si>
  <si>
    <t>Dividend</t>
  </si>
  <si>
    <t>BY ORDER OF THE BOARD</t>
  </si>
  <si>
    <t>Chow Chooi Yoong</t>
  </si>
  <si>
    <t>Company Secretary</t>
  </si>
  <si>
    <t>Date:  20 November 2002</t>
  </si>
  <si>
    <t>CONDENSED CONSOLIDATED STATEMENT OF CHANGES IN EQUITY</t>
  </si>
  <si>
    <t>Earnings per share (EPS)</t>
  </si>
  <si>
    <t>('000)</t>
  </si>
  <si>
    <t>There were no extraordinary items for the current interim period.</t>
  </si>
  <si>
    <t>Nil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</si>
</sst>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_-;\-* #,##0_-;_-* &quot;-&quot;??_-;_-@_-"/>
    <numFmt numFmtId="167" formatCode="_(* #,##0.0_);_(* \(#,##0.0\);_(* &quot;-&quot;??_);_(@_)"/>
  </numFmts>
  <fonts count="19">
    <font>
      <sz val="10"/>
      <name val="Arial"/>
      <family val="0"/>
    </font>
    <font>
      <sz val="11"/>
      <name val="Times New Roman"/>
      <family val="1"/>
    </font>
    <font>
      <b/>
      <sz val="14"/>
      <name val="Times New Roman"/>
      <family val="1"/>
    </font>
    <font>
      <b/>
      <sz val="12"/>
      <name val="Times New Roman"/>
      <family val="1"/>
    </font>
    <font>
      <b/>
      <sz val="10"/>
      <name val="Times New Roman"/>
      <family val="1"/>
    </font>
    <font>
      <b/>
      <sz val="11"/>
      <name val="Times New Roman"/>
      <family val="1"/>
    </font>
    <font>
      <i/>
      <sz val="11"/>
      <name val="Times New Roman"/>
      <family val="1"/>
    </font>
    <font>
      <sz val="10"/>
      <name val="Times New Roman"/>
      <family val="1"/>
    </font>
    <font>
      <sz val="11"/>
      <color indexed="12"/>
      <name val="Times New Roman"/>
      <family val="1"/>
    </font>
    <font>
      <b/>
      <sz val="10"/>
      <name val="Arial"/>
      <family val="2"/>
    </font>
    <font>
      <b/>
      <sz val="11"/>
      <color indexed="8"/>
      <name val="Times New Roman"/>
      <family val="1"/>
    </font>
    <font>
      <b/>
      <sz val="10"/>
      <color indexed="8"/>
      <name val="Arial"/>
      <family val="2"/>
    </font>
    <font>
      <sz val="11"/>
      <color indexed="14"/>
      <name val="Times New Roman"/>
      <family val="1"/>
    </font>
    <font>
      <sz val="10"/>
      <color indexed="10"/>
      <name val="Times New Roman"/>
      <family val="1"/>
    </font>
    <font>
      <b/>
      <i/>
      <sz val="11"/>
      <name val="Times New Roman"/>
      <family val="1"/>
    </font>
    <font>
      <b/>
      <sz val="10"/>
      <color indexed="8"/>
      <name val="Times New Roman"/>
      <family val="1"/>
    </font>
    <font>
      <sz val="10"/>
      <color indexed="8"/>
      <name val="Times New Roman"/>
      <family val="1"/>
    </font>
    <font>
      <sz val="10"/>
      <color indexed="8"/>
      <name val="Arial"/>
      <family val="0"/>
    </font>
    <font>
      <b/>
      <i/>
      <sz val="10"/>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2" fillId="0" borderId="0" xfId="20" applyFont="1" applyAlignment="1">
      <alignment horizontal="left"/>
      <protection/>
    </xf>
    <xf numFmtId="0" fontId="1" fillId="0" borderId="0" xfId="20" applyFont="1">
      <alignment/>
      <protection/>
    </xf>
    <xf numFmtId="0" fontId="1" fillId="0" borderId="0" xfId="20" applyFont="1" applyAlignment="1">
      <alignment horizontal="centerContinuous"/>
      <protection/>
    </xf>
    <xf numFmtId="0" fontId="1" fillId="0" borderId="0" xfId="20" applyFont="1" applyFill="1" applyAlignment="1">
      <alignment horizontal="centerContinuous"/>
      <protection/>
    </xf>
    <xf numFmtId="0" fontId="1" fillId="0" borderId="0" xfId="20" applyFont="1" applyAlignment="1">
      <alignment horizontal="left"/>
      <protection/>
    </xf>
    <xf numFmtId="0" fontId="5" fillId="0" borderId="0" xfId="20" applyFont="1" applyBorder="1" applyAlignment="1" quotePrefix="1">
      <alignment horizontal="left"/>
      <protection/>
    </xf>
    <xf numFmtId="0" fontId="1" fillId="0" borderId="0" xfId="20" applyFont="1" applyFill="1">
      <alignment/>
      <protection/>
    </xf>
    <xf numFmtId="15" fontId="5" fillId="0" borderId="0" xfId="20" applyNumberFormat="1" applyFont="1" applyAlignment="1" quotePrefix="1">
      <alignment horizontal="left"/>
      <protection/>
    </xf>
    <xf numFmtId="15" fontId="6" fillId="0" borderId="0" xfId="20" applyNumberFormat="1" applyFont="1" applyAlignment="1" quotePrefix="1">
      <alignment horizontal="left"/>
      <protection/>
    </xf>
    <xf numFmtId="0" fontId="0" fillId="0" borderId="0" xfId="20">
      <alignment/>
      <protection/>
    </xf>
    <xf numFmtId="0" fontId="1" fillId="0" borderId="0" xfId="20" applyFont="1" applyBorder="1">
      <alignment/>
      <protection/>
    </xf>
    <xf numFmtId="0" fontId="1" fillId="0" borderId="0" xfId="20" applyFont="1" applyFill="1" applyBorder="1">
      <alignment/>
      <protection/>
    </xf>
    <xf numFmtId="0" fontId="5" fillId="0" borderId="0" xfId="20" applyFont="1" applyBorder="1" applyAlignment="1">
      <alignment horizontal="left"/>
      <protection/>
    </xf>
    <xf numFmtId="0" fontId="5" fillId="0" borderId="0" xfId="20" applyFont="1" applyBorder="1" applyAlignment="1">
      <alignment horizontal="centerContinuous"/>
      <protection/>
    </xf>
    <xf numFmtId="0" fontId="1" fillId="0" borderId="1" xfId="20" applyFont="1" applyBorder="1">
      <alignment/>
      <protection/>
    </xf>
    <xf numFmtId="0" fontId="1" fillId="0" borderId="2" xfId="20" applyFont="1" applyBorder="1">
      <alignment/>
      <protection/>
    </xf>
    <xf numFmtId="0" fontId="1" fillId="0" borderId="1" xfId="20" applyFont="1" applyFill="1" applyBorder="1">
      <alignment/>
      <protection/>
    </xf>
    <xf numFmtId="0" fontId="1" fillId="0" borderId="2" xfId="20" applyFont="1" applyBorder="1" applyAlignment="1">
      <alignment horizontal="center"/>
      <protection/>
    </xf>
    <xf numFmtId="0" fontId="1" fillId="0" borderId="0" xfId="20" applyFont="1" applyBorder="1" applyAlignment="1">
      <alignment horizontal="center"/>
      <protection/>
    </xf>
    <xf numFmtId="0" fontId="1" fillId="0" borderId="1" xfId="20" applyFont="1" applyFill="1" applyBorder="1" applyAlignment="1">
      <alignment horizontal="center"/>
      <protection/>
    </xf>
    <xf numFmtId="0" fontId="1" fillId="0" borderId="1" xfId="20" applyFont="1" applyBorder="1" applyAlignment="1">
      <alignment horizontal="center"/>
      <protection/>
    </xf>
    <xf numFmtId="164" fontId="1" fillId="0" borderId="1" xfId="17" applyNumberFormat="1" applyFont="1" applyFill="1" applyBorder="1" applyAlignment="1">
      <alignment horizontal="center"/>
    </xf>
    <xf numFmtId="164" fontId="1" fillId="0" borderId="0" xfId="17" applyNumberFormat="1" applyFont="1" applyBorder="1" applyAlignment="1" quotePrefix="1">
      <alignment horizontal="center"/>
    </xf>
    <xf numFmtId="164" fontId="1" fillId="0" borderId="2" xfId="17" applyNumberFormat="1" applyFont="1" applyBorder="1" applyAlignment="1">
      <alignment horizontal="center"/>
    </xf>
    <xf numFmtId="164" fontId="1" fillId="0" borderId="0" xfId="17" applyNumberFormat="1" applyFont="1" applyBorder="1" applyAlignment="1">
      <alignment horizontal="center"/>
    </xf>
    <xf numFmtId="164" fontId="1" fillId="0" borderId="1" xfId="17" applyNumberFormat="1" applyFont="1" applyBorder="1" applyAlignment="1">
      <alignment horizontal="center"/>
    </xf>
    <xf numFmtId="0" fontId="5" fillId="0" borderId="0" xfId="20" applyFont="1" applyBorder="1">
      <alignment/>
      <protection/>
    </xf>
    <xf numFmtId="0" fontId="5" fillId="0" borderId="1" xfId="20" applyFont="1" applyBorder="1" applyAlignment="1">
      <alignment horizontal="center"/>
      <protection/>
    </xf>
    <xf numFmtId="0" fontId="5" fillId="0" borderId="0" xfId="20" applyFont="1" applyBorder="1" applyAlignment="1">
      <alignment horizontal="center"/>
      <protection/>
    </xf>
    <xf numFmtId="0" fontId="5" fillId="0" borderId="2" xfId="20" applyFont="1" applyBorder="1" applyAlignment="1">
      <alignment horizontal="center"/>
      <protection/>
    </xf>
    <xf numFmtId="43" fontId="1" fillId="0" borderId="3" xfId="17" applyFont="1" applyBorder="1" applyAlignment="1" quotePrefix="1">
      <alignment horizontal="center"/>
    </xf>
    <xf numFmtId="43" fontId="1" fillId="0" borderId="4" xfId="17" applyFont="1" applyBorder="1" applyAlignment="1">
      <alignment/>
    </xf>
    <xf numFmtId="43" fontId="1" fillId="0" borderId="5" xfId="17" applyFont="1" applyBorder="1" applyAlignment="1" quotePrefix="1">
      <alignment horizontal="center"/>
    </xf>
    <xf numFmtId="43" fontId="1" fillId="0" borderId="0" xfId="17" applyFont="1" applyBorder="1" applyAlignment="1">
      <alignment/>
    </xf>
    <xf numFmtId="43" fontId="1" fillId="0" borderId="0" xfId="17" applyFont="1" applyFill="1" applyBorder="1" applyAlignment="1">
      <alignment/>
    </xf>
    <xf numFmtId="164" fontId="1" fillId="0" borderId="0" xfId="17" applyNumberFormat="1" applyFont="1" applyFill="1" applyBorder="1" applyAlignment="1">
      <alignment horizontal="center"/>
    </xf>
    <xf numFmtId="164" fontId="1" fillId="0" borderId="4" xfId="17" applyNumberFormat="1" applyFont="1" applyBorder="1" applyAlignment="1">
      <alignment horizontal="center"/>
    </xf>
    <xf numFmtId="164" fontId="1" fillId="0" borderId="4" xfId="17" applyNumberFormat="1" applyFont="1" applyFill="1" applyBorder="1" applyAlignment="1">
      <alignment horizontal="center"/>
    </xf>
    <xf numFmtId="0" fontId="1" fillId="0" borderId="0" xfId="20" applyFont="1" applyBorder="1" applyAlignment="1">
      <alignment horizontal="left"/>
      <protection/>
    </xf>
    <xf numFmtId="164" fontId="1" fillId="0" borderId="0" xfId="17" applyNumberFormat="1" applyFont="1" applyFill="1" applyBorder="1" applyAlignment="1" quotePrefix="1">
      <alignment horizontal="center"/>
    </xf>
    <xf numFmtId="164" fontId="1" fillId="0" borderId="4" xfId="17" applyNumberFormat="1" applyFont="1" applyFill="1" applyBorder="1" applyAlignment="1" quotePrefix="1">
      <alignment horizontal="center"/>
    </xf>
    <xf numFmtId="164" fontId="1" fillId="0" borderId="0" xfId="20" applyNumberFormat="1" applyFont="1" applyFill="1" applyBorder="1">
      <alignment/>
      <protection/>
    </xf>
    <xf numFmtId="164" fontId="1" fillId="0" borderId="0" xfId="17" applyNumberFormat="1" applyFont="1" applyFill="1" applyBorder="1" applyAlignment="1">
      <alignment/>
    </xf>
    <xf numFmtId="164" fontId="1" fillId="0" borderId="4" xfId="15" applyNumberFormat="1" applyFont="1" applyBorder="1" applyAlignment="1">
      <alignment/>
    </xf>
    <xf numFmtId="164" fontId="1" fillId="0" borderId="4" xfId="20" applyNumberFormat="1" applyFont="1" applyFill="1" applyBorder="1">
      <alignment/>
      <protection/>
    </xf>
    <xf numFmtId="165" fontId="1" fillId="0" borderId="4" xfId="20" applyNumberFormat="1" applyFont="1" applyBorder="1">
      <alignment/>
      <protection/>
    </xf>
    <xf numFmtId="164" fontId="1" fillId="0" borderId="0" xfId="15" applyNumberFormat="1" applyFont="1" applyBorder="1" applyAlignment="1">
      <alignment/>
    </xf>
    <xf numFmtId="165" fontId="1" fillId="0" borderId="0" xfId="20" applyNumberFormat="1" applyFont="1" applyBorder="1">
      <alignment/>
      <protection/>
    </xf>
    <xf numFmtId="164" fontId="1" fillId="0" borderId="6" xfId="17" applyNumberFormat="1" applyFont="1" applyBorder="1" applyAlignment="1">
      <alignment horizontal="center"/>
    </xf>
    <xf numFmtId="43" fontId="1" fillId="0" borderId="0" xfId="15" applyNumberFormat="1" applyFont="1" applyBorder="1" applyAlignment="1">
      <alignment horizontal="center"/>
    </xf>
    <xf numFmtId="2" fontId="1" fillId="0" borderId="0" xfId="20" applyNumberFormat="1" applyFont="1" applyBorder="1">
      <alignment/>
      <protection/>
    </xf>
    <xf numFmtId="43" fontId="1" fillId="0" borderId="0" xfId="20" applyNumberFormat="1" applyFont="1" applyFill="1" applyBorder="1">
      <alignment/>
      <protection/>
    </xf>
    <xf numFmtId="0" fontId="6" fillId="0" borderId="0" xfId="20" applyFont="1" applyBorder="1">
      <alignment/>
      <protection/>
    </xf>
    <xf numFmtId="43" fontId="6" fillId="0" borderId="0" xfId="15" applyNumberFormat="1" applyFont="1" applyBorder="1" applyAlignment="1">
      <alignment horizontal="center"/>
    </xf>
    <xf numFmtId="2" fontId="6" fillId="0" borderId="0" xfId="20" applyNumberFormat="1" applyFont="1" applyBorder="1">
      <alignment/>
      <protection/>
    </xf>
    <xf numFmtId="43" fontId="6" fillId="0" borderId="0" xfId="20" applyNumberFormat="1" applyFont="1" applyFill="1" applyBorder="1">
      <alignment/>
      <protection/>
    </xf>
    <xf numFmtId="164" fontId="6" fillId="0" borderId="0" xfId="15" applyNumberFormat="1" applyFont="1" applyBorder="1" applyAlignment="1">
      <alignment horizontal="center"/>
    </xf>
    <xf numFmtId="164" fontId="6" fillId="0" borderId="0" xfId="15" applyNumberFormat="1" applyFont="1" applyBorder="1" applyAlignment="1">
      <alignment/>
    </xf>
    <xf numFmtId="164" fontId="6" fillId="0" borderId="0" xfId="20" applyNumberFormat="1" applyFont="1" applyFill="1" applyBorder="1">
      <alignment/>
      <protection/>
    </xf>
    <xf numFmtId="43" fontId="1" fillId="0" borderId="0" xfId="15" applyFont="1" applyBorder="1" applyAlignment="1">
      <alignment horizontal="center"/>
    </xf>
    <xf numFmtId="2" fontId="1" fillId="0" borderId="0" xfId="20" applyNumberFormat="1" applyFont="1" applyBorder="1" applyAlignment="1">
      <alignment horizontal="right"/>
      <protection/>
    </xf>
    <xf numFmtId="0" fontId="1" fillId="0" borderId="0" xfId="20" applyFont="1" applyFill="1" applyBorder="1" applyAlignment="1">
      <alignment horizontal="left"/>
      <protection/>
    </xf>
    <xf numFmtId="0" fontId="5" fillId="0" borderId="0" xfId="20" applyFont="1" applyFill="1" applyAlignment="1">
      <alignment horizontal="centerContinuous"/>
      <protection/>
    </xf>
    <xf numFmtId="0" fontId="5" fillId="0" borderId="0" xfId="20" applyFont="1" applyAlignment="1">
      <alignment horizontal="centerContinuous"/>
      <protection/>
    </xf>
    <xf numFmtId="0" fontId="1" fillId="0" borderId="0" xfId="20" applyFont="1" applyBorder="1" applyAlignment="1">
      <alignment horizontal="centerContinuous"/>
      <protection/>
    </xf>
    <xf numFmtId="0" fontId="5" fillId="0" borderId="0" xfId="20" applyFont="1" applyAlignment="1">
      <alignment horizontal="left"/>
      <protection/>
    </xf>
    <xf numFmtId="0" fontId="6" fillId="0" borderId="0" xfId="20" applyFont="1" applyAlignment="1">
      <alignment horizontal="left"/>
      <protection/>
    </xf>
    <xf numFmtId="0" fontId="1" fillId="0" borderId="0" xfId="20" applyFont="1" applyAlignment="1">
      <alignment horizontal="center"/>
      <protection/>
    </xf>
    <xf numFmtId="0" fontId="1" fillId="0" borderId="0" xfId="20" applyFont="1" applyFill="1" applyAlignment="1">
      <alignment horizontal="center"/>
      <protection/>
    </xf>
    <xf numFmtId="0" fontId="5" fillId="0" borderId="0" xfId="20" applyFont="1" applyAlignment="1">
      <alignment horizontal="center"/>
      <protection/>
    </xf>
    <xf numFmtId="0" fontId="6" fillId="0" borderId="0" xfId="20" applyFont="1" applyAlignment="1">
      <alignment horizontal="center"/>
      <protection/>
    </xf>
    <xf numFmtId="0" fontId="1" fillId="0" borderId="0" xfId="20" applyFont="1" applyBorder="1" applyAlignment="1" quotePrefix="1">
      <alignment horizontal="center"/>
      <protection/>
    </xf>
    <xf numFmtId="0" fontId="1" fillId="0" borderId="0" xfId="20" applyFont="1" applyAlignment="1" quotePrefix="1">
      <alignment horizontal="center"/>
      <protection/>
    </xf>
    <xf numFmtId="0" fontId="5" fillId="0" borderId="0" xfId="20" applyFont="1" applyFill="1" applyAlignment="1">
      <alignment horizontal="center"/>
      <protection/>
    </xf>
    <xf numFmtId="0" fontId="5" fillId="0" borderId="0" xfId="20" applyFont="1" applyFill="1" applyAlignment="1" quotePrefix="1">
      <alignment horizontal="center"/>
      <protection/>
    </xf>
    <xf numFmtId="0" fontId="5" fillId="0" borderId="0" xfId="20" applyFont="1" applyAlignment="1" quotePrefix="1">
      <alignment horizontal="center"/>
      <protection/>
    </xf>
    <xf numFmtId="164" fontId="1" fillId="0" borderId="0" xfId="17" applyNumberFormat="1" applyFont="1" applyFill="1" applyAlignment="1">
      <alignment/>
    </xf>
    <xf numFmtId="164" fontId="1" fillId="0" borderId="0" xfId="17" applyNumberFormat="1" applyFont="1" applyBorder="1" applyAlignment="1">
      <alignment/>
    </xf>
    <xf numFmtId="164" fontId="1" fillId="0" borderId="0" xfId="17" applyNumberFormat="1" applyFont="1" applyAlignment="1">
      <alignment horizontal="center"/>
    </xf>
    <xf numFmtId="0" fontId="5" fillId="0" borderId="0" xfId="20" applyFont="1">
      <alignment/>
      <protection/>
    </xf>
    <xf numFmtId="164" fontId="5" fillId="0" borderId="0" xfId="17" applyNumberFormat="1" applyFont="1" applyFill="1" applyAlignment="1">
      <alignment horizontal="center"/>
    </xf>
    <xf numFmtId="164" fontId="5" fillId="0" borderId="0" xfId="17" applyNumberFormat="1" applyFont="1" applyBorder="1" applyAlignment="1">
      <alignment horizontal="center"/>
    </xf>
    <xf numFmtId="164" fontId="5" fillId="0" borderId="0" xfId="17" applyNumberFormat="1" applyFont="1" applyAlignment="1">
      <alignment horizontal="center"/>
    </xf>
    <xf numFmtId="164" fontId="1" fillId="0" borderId="0" xfId="17" applyNumberFormat="1" applyFont="1" applyFill="1" applyAlignment="1">
      <alignment/>
    </xf>
    <xf numFmtId="164" fontId="1" fillId="0" borderId="0" xfId="17" applyNumberFormat="1" applyFont="1" applyBorder="1" applyAlignment="1">
      <alignment/>
    </xf>
    <xf numFmtId="166" fontId="1" fillId="0" borderId="7" xfId="15" applyNumberFormat="1" applyFont="1" applyFill="1" applyBorder="1" applyAlignment="1">
      <alignment/>
    </xf>
    <xf numFmtId="164" fontId="1" fillId="0" borderId="7" xfId="17" applyNumberFormat="1" applyFont="1" applyBorder="1" applyAlignment="1">
      <alignment horizontal="center"/>
    </xf>
    <xf numFmtId="166" fontId="1" fillId="0" borderId="8" xfId="15" applyNumberFormat="1" applyFont="1" applyFill="1" applyBorder="1" applyAlignment="1">
      <alignment/>
    </xf>
    <xf numFmtId="164" fontId="1" fillId="0" borderId="8" xfId="17" applyNumberFormat="1" applyFont="1" applyBorder="1" applyAlignment="1">
      <alignment horizontal="center"/>
    </xf>
    <xf numFmtId="0" fontId="1" fillId="0" borderId="0" xfId="20" applyFont="1" applyFill="1" applyAlignment="1">
      <alignment horizontal="left"/>
      <protection/>
    </xf>
    <xf numFmtId="166" fontId="1" fillId="0" borderId="9" xfId="15" applyNumberFormat="1" applyFont="1" applyFill="1" applyBorder="1" applyAlignment="1">
      <alignment/>
    </xf>
    <xf numFmtId="164" fontId="1" fillId="0" borderId="9" xfId="17" applyNumberFormat="1" applyFont="1" applyBorder="1" applyAlignment="1">
      <alignment horizontal="center"/>
    </xf>
    <xf numFmtId="0" fontId="1" fillId="0" borderId="0" xfId="20" applyFont="1" applyFill="1" applyAlignment="1" quotePrefix="1">
      <alignment horizontal="left"/>
      <protection/>
    </xf>
    <xf numFmtId="166" fontId="1" fillId="0" borderId="0" xfId="15" applyNumberFormat="1" applyFont="1" applyFill="1" applyBorder="1" applyAlignment="1">
      <alignment/>
    </xf>
    <xf numFmtId="0" fontId="1" fillId="0" borderId="0" xfId="20" applyFont="1" applyAlignment="1" quotePrefix="1">
      <alignment horizontal="left"/>
      <protection/>
    </xf>
    <xf numFmtId="164" fontId="8" fillId="0" borderId="4" xfId="17" applyNumberFormat="1" applyFont="1" applyFill="1" applyBorder="1" applyAlignment="1">
      <alignment/>
    </xf>
    <xf numFmtId="164" fontId="8" fillId="0" borderId="0" xfId="17" applyNumberFormat="1" applyFont="1" applyBorder="1" applyAlignment="1">
      <alignment/>
    </xf>
    <xf numFmtId="164" fontId="1" fillId="0" borderId="7" xfId="17" applyNumberFormat="1" applyFont="1" applyFill="1" applyBorder="1" applyAlignment="1">
      <alignment/>
    </xf>
    <xf numFmtId="164" fontId="1" fillId="0" borderId="8" xfId="17" applyNumberFormat="1" applyFont="1" applyFill="1" applyBorder="1" applyAlignment="1">
      <alignment/>
    </xf>
    <xf numFmtId="164" fontId="1" fillId="0" borderId="9" xfId="17" applyNumberFormat="1" applyFont="1" applyFill="1" applyBorder="1" applyAlignment="1">
      <alignment/>
    </xf>
    <xf numFmtId="164" fontId="1" fillId="0" borderId="0" xfId="17" applyNumberFormat="1" applyFont="1" applyFill="1" applyBorder="1" applyAlignment="1">
      <alignment/>
    </xf>
    <xf numFmtId="164" fontId="8" fillId="0" borderId="0" xfId="17" applyNumberFormat="1" applyFont="1" applyFill="1" applyBorder="1" applyAlignment="1">
      <alignment/>
    </xf>
    <xf numFmtId="164" fontId="8" fillId="0" borderId="0" xfId="17" applyNumberFormat="1" applyFont="1" applyBorder="1" applyAlignment="1">
      <alignment horizontal="center"/>
    </xf>
    <xf numFmtId="164" fontId="8" fillId="0" borderId="6" xfId="17" applyNumberFormat="1" applyFont="1" applyFill="1" applyBorder="1" applyAlignment="1">
      <alignment/>
    </xf>
    <xf numFmtId="43" fontId="1" fillId="0" borderId="0" xfId="17" applyNumberFormat="1" applyFont="1" applyAlignment="1">
      <alignment horizontal="center"/>
    </xf>
    <xf numFmtId="164" fontId="1" fillId="0" borderId="4" xfId="17" applyNumberFormat="1" applyFont="1" applyFill="1" applyBorder="1" applyAlignment="1">
      <alignment/>
    </xf>
    <xf numFmtId="0" fontId="1" fillId="0" borderId="0" xfId="20" applyFont="1" quotePrefix="1">
      <alignment/>
      <protection/>
    </xf>
    <xf numFmtId="164" fontId="8" fillId="0" borderId="0" xfId="17" applyNumberFormat="1" applyFont="1" applyFill="1" applyBorder="1" applyAlignment="1">
      <alignment horizontal="right"/>
    </xf>
    <xf numFmtId="164" fontId="8" fillId="0" borderId="0" xfId="17" applyNumberFormat="1" applyFont="1" applyBorder="1" applyAlignment="1">
      <alignment horizontal="right"/>
    </xf>
    <xf numFmtId="164" fontId="1" fillId="0" borderId="0" xfId="17" applyNumberFormat="1" applyFont="1" applyFill="1" applyAlignment="1">
      <alignment horizontal="right"/>
    </xf>
    <xf numFmtId="164" fontId="1" fillId="0" borderId="0" xfId="17" applyNumberFormat="1" applyFont="1" applyBorder="1" applyAlignment="1">
      <alignment horizontal="right"/>
    </xf>
    <xf numFmtId="0" fontId="5" fillId="0" borderId="0" xfId="20" applyFont="1" applyAlignment="1" quotePrefix="1">
      <alignment horizontal="left"/>
      <protection/>
    </xf>
    <xf numFmtId="43" fontId="1" fillId="0" borderId="0" xfId="17" applyNumberFormat="1" applyFont="1" applyFill="1" applyAlignment="1">
      <alignment/>
    </xf>
    <xf numFmtId="43" fontId="1" fillId="0" borderId="0" xfId="17" applyNumberFormat="1" applyFont="1" applyBorder="1" applyAlignment="1">
      <alignment/>
    </xf>
    <xf numFmtId="164" fontId="1" fillId="0" borderId="0" xfId="17" applyNumberFormat="1" applyFont="1" applyAlignment="1">
      <alignment/>
    </xf>
    <xf numFmtId="164" fontId="1" fillId="0" borderId="0" xfId="20" applyNumberFormat="1" applyFont="1" applyFill="1">
      <alignment/>
      <protection/>
    </xf>
    <xf numFmtId="43" fontId="1" fillId="0" borderId="0" xfId="15" applyFont="1" applyFill="1" applyAlignment="1">
      <alignment/>
    </xf>
    <xf numFmtId="166" fontId="1" fillId="0" borderId="0" xfId="20" applyNumberFormat="1" applyFont="1" applyBorder="1">
      <alignment/>
      <protection/>
    </xf>
    <xf numFmtId="164" fontId="1" fillId="0" borderId="0" xfId="15" applyNumberFormat="1" applyFont="1" applyFill="1" applyAlignment="1">
      <alignment/>
    </xf>
    <xf numFmtId="37" fontId="1" fillId="0" borderId="0" xfId="20" applyNumberFormat="1" applyFont="1" applyBorder="1" applyAlignment="1">
      <alignment horizontal="left"/>
      <protection/>
    </xf>
    <xf numFmtId="37" fontId="1" fillId="0" borderId="0" xfId="20" applyNumberFormat="1" applyFont="1" applyAlignment="1">
      <alignment horizontal="centerContinuous"/>
      <protection/>
    </xf>
    <xf numFmtId="37" fontId="1" fillId="0" borderId="0" xfId="20" applyNumberFormat="1" applyFont="1">
      <alignment/>
      <protection/>
    </xf>
    <xf numFmtId="37" fontId="1" fillId="0" borderId="0" xfId="20" applyNumberFormat="1" applyFont="1" applyFill="1" applyAlignment="1">
      <alignment horizontal="centerContinuous"/>
      <protection/>
    </xf>
    <xf numFmtId="37" fontId="1" fillId="0" borderId="0" xfId="20" applyNumberFormat="1" applyFont="1" applyFill="1">
      <alignment/>
      <protection/>
    </xf>
    <xf numFmtId="37" fontId="5" fillId="0" borderId="0" xfId="20" applyNumberFormat="1" applyFont="1" applyBorder="1" applyAlignment="1">
      <alignment horizontal="left"/>
      <protection/>
    </xf>
    <xf numFmtId="0" fontId="5" fillId="0" borderId="0" xfId="0" applyFont="1" applyAlignment="1">
      <alignment horizontal="left"/>
    </xf>
    <xf numFmtId="0" fontId="7" fillId="0" borderId="0" xfId="20" applyFont="1">
      <alignment/>
      <protection/>
    </xf>
    <xf numFmtId="0" fontId="0" fillId="0" borderId="0" xfId="0" applyAlignment="1">
      <alignment horizontal="center"/>
    </xf>
    <xf numFmtId="0" fontId="7" fillId="0" borderId="0" xfId="0" applyFont="1" applyAlignment="1">
      <alignment horizontal="center"/>
    </xf>
    <xf numFmtId="37" fontId="5"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37" fontId="5" fillId="0" borderId="0" xfId="0" applyNumberFormat="1" applyFont="1" applyAlignment="1" quotePrefix="1">
      <alignment horizontal="center"/>
    </xf>
    <xf numFmtId="37" fontId="5" fillId="0" borderId="0" xfId="0" applyNumberFormat="1" applyFont="1" applyAlignment="1">
      <alignment/>
    </xf>
    <xf numFmtId="164" fontId="1" fillId="0" borderId="0" xfId="15" applyNumberFormat="1" applyFont="1" applyAlignment="1">
      <alignment/>
    </xf>
    <xf numFmtId="164" fontId="0" fillId="0" borderId="0" xfId="15" applyNumberFormat="1" applyBorder="1" applyAlignment="1">
      <alignment/>
    </xf>
    <xf numFmtId="164" fontId="0" fillId="0" borderId="0" xfId="15" applyNumberFormat="1" applyAlignment="1">
      <alignment/>
    </xf>
    <xf numFmtId="164" fontId="1" fillId="0" borderId="6" xfId="15" applyNumberFormat="1" applyFont="1" applyBorder="1" applyAlignment="1">
      <alignment/>
    </xf>
    <xf numFmtId="164" fontId="0" fillId="0" borderId="0" xfId="15" applyNumberFormat="1" applyFont="1" applyAlignment="1">
      <alignment/>
    </xf>
    <xf numFmtId="37" fontId="1" fillId="0" borderId="0" xfId="0" applyNumberFormat="1" applyFont="1" applyAlignment="1">
      <alignment/>
    </xf>
    <xf numFmtId="37" fontId="0" fillId="0" borderId="0" xfId="0" applyNumberFormat="1" applyAlignment="1">
      <alignment/>
    </xf>
    <xf numFmtId="0" fontId="7" fillId="0" borderId="0" xfId="0" applyFont="1" applyAlignment="1">
      <alignment/>
    </xf>
    <xf numFmtId="37" fontId="7" fillId="0" borderId="0" xfId="0" applyNumberFormat="1" applyFont="1" applyAlignment="1">
      <alignment/>
    </xf>
    <xf numFmtId="0" fontId="0" fillId="0" borderId="0" xfId="20" applyBorder="1">
      <alignment/>
      <protection/>
    </xf>
    <xf numFmtId="0" fontId="9" fillId="0" borderId="0" xfId="0" applyFont="1" applyFill="1" applyAlignment="1">
      <alignment/>
    </xf>
    <xf numFmtId="38" fontId="10" fillId="0" borderId="0" xfId="0" applyNumberFormat="1" applyFont="1" applyFill="1" applyAlignment="1">
      <alignment horizontal="center"/>
    </xf>
    <xf numFmtId="38" fontId="10" fillId="0" borderId="0" xfId="15" applyNumberFormat="1" applyFont="1" applyFill="1" applyAlignment="1">
      <alignment horizontal="right"/>
    </xf>
    <xf numFmtId="0" fontId="10" fillId="0" borderId="0" xfId="0" applyFont="1" applyFill="1" applyBorder="1" applyAlignment="1">
      <alignment/>
    </xf>
    <xf numFmtId="0" fontId="10" fillId="0" borderId="0" xfId="0" applyFont="1" applyFill="1" applyAlignment="1">
      <alignment/>
    </xf>
    <xf numFmtId="0" fontId="11" fillId="0" borderId="0" xfId="0" applyFont="1" applyFill="1" applyAlignment="1">
      <alignment/>
    </xf>
    <xf numFmtId="0" fontId="5" fillId="0" borderId="0" xfId="0" applyFont="1" applyAlignment="1">
      <alignment/>
    </xf>
    <xf numFmtId="0" fontId="0" fillId="0" borderId="0" xfId="0" applyFill="1" applyAlignment="1">
      <alignment/>
    </xf>
    <xf numFmtId="0" fontId="1" fillId="0" borderId="0" xfId="0" applyFont="1" applyFill="1" applyAlignment="1">
      <alignment/>
    </xf>
    <xf numFmtId="38" fontId="1" fillId="0" borderId="0" xfId="15" applyNumberFormat="1" applyFont="1" applyFill="1" applyAlignment="1">
      <alignment/>
    </xf>
    <xf numFmtId="0" fontId="1" fillId="0" borderId="0" xfId="0" applyFont="1" applyFill="1" applyBorder="1" applyAlignment="1">
      <alignment/>
    </xf>
    <xf numFmtId="38" fontId="1" fillId="0" borderId="0" xfId="15" applyNumberFormat="1" applyFont="1" applyAlignment="1">
      <alignment/>
    </xf>
    <xf numFmtId="0" fontId="1" fillId="0" borderId="0" xfId="0" applyFont="1" applyBorder="1" applyAlignment="1">
      <alignment/>
    </xf>
    <xf numFmtId="38" fontId="1" fillId="0" borderId="4" xfId="15" applyNumberFormat="1" applyFont="1" applyBorder="1" applyAlignment="1">
      <alignment/>
    </xf>
    <xf numFmtId="38" fontId="1" fillId="0" borderId="0" xfId="15" applyNumberFormat="1" applyFont="1" applyBorder="1" applyAlignment="1">
      <alignment/>
    </xf>
    <xf numFmtId="38" fontId="12" fillId="0" borderId="0" xfId="0" applyNumberFormat="1" applyFont="1" applyAlignment="1">
      <alignment/>
    </xf>
    <xf numFmtId="38" fontId="1" fillId="0" borderId="4" xfId="15" applyNumberFormat="1" applyFont="1" applyFill="1" applyBorder="1" applyAlignment="1">
      <alignment/>
    </xf>
    <xf numFmtId="38" fontId="1" fillId="0" borderId="10" xfId="15" applyNumberFormat="1" applyFont="1" applyBorder="1" applyAlignment="1">
      <alignment/>
    </xf>
    <xf numFmtId="38" fontId="5" fillId="0" borderId="6" xfId="15" applyNumberFormat="1" applyFont="1" applyBorder="1" applyAlignment="1">
      <alignment/>
    </xf>
    <xf numFmtId="38" fontId="5" fillId="0" borderId="11" xfId="15" applyNumberFormat="1" applyFont="1" applyBorder="1" applyAlignment="1">
      <alignment/>
    </xf>
    <xf numFmtId="38" fontId="5" fillId="0" borderId="0" xfId="15" applyNumberFormat="1" applyFont="1" applyBorder="1" applyAlignment="1">
      <alignment/>
    </xf>
    <xf numFmtId="38" fontId="5" fillId="0" borderId="12" xfId="15" applyNumberFormat="1" applyFont="1" applyBorder="1" applyAlignment="1">
      <alignment/>
    </xf>
    <xf numFmtId="38" fontId="1" fillId="0" borderId="0" xfId="0" applyNumberFormat="1" applyFont="1" applyAlignment="1">
      <alignment/>
    </xf>
    <xf numFmtId="0" fontId="1" fillId="0" borderId="0" xfId="0" applyFont="1" applyAlignment="1" quotePrefix="1">
      <alignment/>
    </xf>
    <xf numFmtId="38" fontId="0" fillId="0" borderId="0" xfId="0" applyNumberFormat="1" applyAlignment="1">
      <alignment/>
    </xf>
    <xf numFmtId="0" fontId="0" fillId="0" borderId="0" xfId="0" applyBorder="1" applyAlignment="1">
      <alignment/>
    </xf>
    <xf numFmtId="0" fontId="7" fillId="0" borderId="0" xfId="20" applyFont="1" applyFill="1" applyAlignment="1">
      <alignment horizontal="left"/>
      <protection/>
    </xf>
    <xf numFmtId="0" fontId="14" fillId="0" borderId="0" xfId="20" applyFont="1" applyFill="1" applyAlignment="1">
      <alignment horizontal="center"/>
      <protection/>
    </xf>
    <xf numFmtId="0" fontId="4" fillId="0" borderId="0" xfId="20" applyFont="1" applyAlignment="1" quotePrefix="1">
      <alignment horizontal="left"/>
      <protection/>
    </xf>
    <xf numFmtId="0" fontId="4" fillId="0" borderId="0" xfId="20" applyFont="1">
      <alignment/>
      <protection/>
    </xf>
    <xf numFmtId="0" fontId="4" fillId="0" borderId="0" xfId="20" applyFont="1" quotePrefix="1">
      <alignment/>
      <protection/>
    </xf>
    <xf numFmtId="0" fontId="7" fillId="0" borderId="0" xfId="20" applyFont="1" applyAlignment="1">
      <alignment horizontal="left"/>
      <protection/>
    </xf>
    <xf numFmtId="0" fontId="7" fillId="0" borderId="0" xfId="20" applyFont="1" applyAlignment="1">
      <alignment horizontal="center"/>
      <protection/>
    </xf>
    <xf numFmtId="0" fontId="0" fillId="0" borderId="0" xfId="20" applyFont="1">
      <alignment/>
      <protection/>
    </xf>
    <xf numFmtId="0" fontId="4" fillId="0" borderId="0" xfId="20" applyFont="1" applyAlignment="1">
      <alignment horizontal="center"/>
      <protection/>
    </xf>
    <xf numFmtId="0" fontId="7" fillId="0" borderId="0" xfId="20" applyFont="1" quotePrefix="1">
      <alignment/>
      <protection/>
    </xf>
    <xf numFmtId="164" fontId="7" fillId="0" borderId="0" xfId="17" applyNumberFormat="1" applyFont="1" applyAlignment="1">
      <alignment/>
    </xf>
    <xf numFmtId="164" fontId="7" fillId="0" borderId="4" xfId="17" applyNumberFormat="1" applyFont="1" applyBorder="1" applyAlignment="1">
      <alignment/>
    </xf>
    <xf numFmtId="164" fontId="7" fillId="0" borderId="6" xfId="17" applyNumberFormat="1" applyFont="1" applyBorder="1" applyAlignment="1">
      <alignment/>
    </xf>
    <xf numFmtId="0" fontId="15" fillId="0" borderId="0" xfId="20" applyFont="1" applyAlignment="1" quotePrefix="1">
      <alignment horizontal="lef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quotePrefix="1">
      <alignment horizontal="left"/>
      <protection/>
    </xf>
    <xf numFmtId="0" fontId="7" fillId="0" borderId="0" xfId="20" applyFont="1" applyBorder="1">
      <alignment/>
      <protection/>
    </xf>
    <xf numFmtId="0" fontId="7" fillId="0" borderId="0" xfId="20" applyFont="1" applyBorder="1" applyAlignment="1">
      <alignment horizontal="center"/>
      <protection/>
    </xf>
    <xf numFmtId="0" fontId="7" fillId="0" borderId="0" xfId="20" applyFont="1" applyBorder="1" quotePrefix="1">
      <alignment/>
      <protection/>
    </xf>
    <xf numFmtId="0" fontId="4" fillId="0" borderId="0" xfId="20" applyFont="1" applyBorder="1" applyAlignment="1">
      <alignment horizontal="center"/>
      <protection/>
    </xf>
    <xf numFmtId="0" fontId="18" fillId="0" borderId="0" xfId="20" applyFont="1" applyBorder="1">
      <alignment/>
      <protection/>
    </xf>
    <xf numFmtId="164" fontId="7" fillId="0" borderId="0" xfId="17" applyNumberFormat="1" applyFont="1" applyBorder="1" applyAlignment="1">
      <alignment/>
    </xf>
    <xf numFmtId="0" fontId="16" fillId="0" borderId="0" xfId="20" applyFont="1" applyBorder="1">
      <alignment/>
      <protection/>
    </xf>
    <xf numFmtId="164" fontId="7" fillId="0" borderId="4" xfId="20" applyNumberFormat="1" applyFont="1" applyBorder="1">
      <alignment/>
      <protection/>
    </xf>
    <xf numFmtId="164" fontId="4" fillId="0" borderId="0" xfId="20" applyNumberFormat="1" applyFont="1" applyBorder="1">
      <alignment/>
      <protection/>
    </xf>
    <xf numFmtId="0" fontId="4" fillId="0" borderId="0" xfId="20" applyFont="1" applyFill="1" applyAlignment="1" quotePrefix="1">
      <alignment horizontal="left"/>
      <protection/>
    </xf>
    <xf numFmtId="0" fontId="4" fillId="0" borderId="0" xfId="20" applyFont="1" applyFill="1">
      <alignment/>
      <protection/>
    </xf>
    <xf numFmtId="0" fontId="7" fillId="0" borderId="0" xfId="20" applyFont="1" applyFill="1">
      <alignment/>
      <protection/>
    </xf>
    <xf numFmtId="0" fontId="0" fillId="0" borderId="0" xfId="20" applyFill="1">
      <alignment/>
      <protection/>
    </xf>
    <xf numFmtId="166" fontId="7" fillId="0" borderId="0" xfId="15" applyNumberFormat="1" applyFont="1" applyAlignment="1">
      <alignment/>
    </xf>
    <xf numFmtId="166" fontId="7" fillId="0" borderId="0" xfId="20" applyNumberFormat="1" applyFont="1" applyBorder="1">
      <alignment/>
      <protection/>
    </xf>
    <xf numFmtId="43" fontId="1" fillId="0" borderId="0" xfId="15" applyNumberFormat="1" applyFont="1" applyBorder="1" applyAlignment="1">
      <alignment horizontal="right"/>
    </xf>
    <xf numFmtId="0" fontId="5" fillId="0" borderId="13" xfId="20" applyFont="1" applyBorder="1" applyAlignment="1">
      <alignment horizontal="center"/>
      <protection/>
    </xf>
    <xf numFmtId="0" fontId="0" fillId="0" borderId="14" xfId="20" applyBorder="1" applyAlignment="1">
      <alignment horizontal="center"/>
      <protection/>
    </xf>
    <xf numFmtId="0" fontId="0" fillId="0" borderId="15" xfId="20" applyBorder="1" applyAlignment="1">
      <alignment horizontal="center"/>
      <protection/>
    </xf>
    <xf numFmtId="38" fontId="10" fillId="0" borderId="0" xfId="0" applyNumberFormat="1" applyFont="1" applyFill="1" applyAlignment="1">
      <alignment horizontal="center"/>
    </xf>
    <xf numFmtId="0" fontId="7" fillId="0" borderId="0" xfId="20" applyFont="1" applyFill="1" applyAlignment="1">
      <alignment horizontal="left"/>
      <protection/>
    </xf>
    <xf numFmtId="43" fontId="1" fillId="0" borderId="0" xfId="15" applyFont="1" applyBorder="1" applyAlignment="1">
      <alignment horizontal="right"/>
    </xf>
    <xf numFmtId="43" fontId="1" fillId="0" borderId="0" xfId="20" applyNumberFormat="1" applyFont="1" applyFill="1" applyBorder="1" applyAlignment="1">
      <alignment horizontal="right"/>
      <protection/>
    </xf>
  </cellXfs>
  <cellStyles count="8">
    <cellStyle name="Normal" xfId="0"/>
    <cellStyle name="Comma" xfId="15"/>
    <cellStyle name="Comma [0]" xfId="16"/>
    <cellStyle name="Comma_June 2001" xfId="17"/>
    <cellStyle name="Currency" xfId="18"/>
    <cellStyle name="Currency [0]" xfId="19"/>
    <cellStyle name="Normal_June 200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123825</xdr:rowOff>
    </xdr:from>
    <xdr:to>
      <xdr:col>7</xdr:col>
      <xdr:colOff>1304925</xdr:colOff>
      <xdr:row>57</xdr:row>
      <xdr:rowOff>0</xdr:rowOff>
    </xdr:to>
    <xdr:sp>
      <xdr:nvSpPr>
        <xdr:cNvPr id="1" name="TextBox 1"/>
        <xdr:cNvSpPr txBox="1">
          <a:spLocks noChangeArrowheads="1"/>
        </xdr:cNvSpPr>
      </xdr:nvSpPr>
      <xdr:spPr>
        <a:xfrm>
          <a:off x="0" y="10429875"/>
          <a:ext cx="79533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2001)</a:t>
          </a:r>
        </a:p>
      </xdr:txBody>
    </xdr:sp>
    <xdr:clientData/>
  </xdr:twoCellAnchor>
  <xdr:twoCellAnchor>
    <xdr:from>
      <xdr:col>0</xdr:col>
      <xdr:colOff>0</xdr:colOff>
      <xdr:row>44</xdr:row>
      <xdr:rowOff>0</xdr:rowOff>
    </xdr:from>
    <xdr:to>
      <xdr:col>1</xdr:col>
      <xdr:colOff>0</xdr:colOff>
      <xdr:row>48</xdr:row>
      <xdr:rowOff>180975</xdr:rowOff>
    </xdr:to>
    <xdr:sp>
      <xdr:nvSpPr>
        <xdr:cNvPr id="2" name="TextBox 2"/>
        <xdr:cNvSpPr txBox="1">
          <a:spLocks noChangeArrowheads="1"/>
        </xdr:cNvSpPr>
      </xdr:nvSpPr>
      <xdr:spPr>
        <a:xfrm>
          <a:off x="0" y="8429625"/>
          <a:ext cx="2352675" cy="9144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1" u="none" baseline="0"/>
            <a:t>The basic EPS has been calculated based on the profit attributable to shareholders  and on the weighted average number of ordinary shares of RM1 each issued by the Company.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20525"/>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8</xdr:col>
      <xdr:colOff>38100</xdr:colOff>
      <xdr:row>52</xdr:row>
      <xdr:rowOff>95250</xdr:rowOff>
    </xdr:to>
    <xdr:sp>
      <xdr:nvSpPr>
        <xdr:cNvPr id="1" name="TextBox 1"/>
        <xdr:cNvSpPr txBox="1">
          <a:spLocks noChangeArrowheads="1"/>
        </xdr:cNvSpPr>
      </xdr:nvSpPr>
      <xdr:spPr>
        <a:xfrm>
          <a:off x="123825" y="8972550"/>
          <a:ext cx="5114925" cy="1047750"/>
        </a:xfrm>
        <a:prstGeom prst="rect">
          <a:avLst/>
        </a:prstGeom>
        <a:noFill/>
        <a:ln w="9525" cmpd="sng">
          <a:noFill/>
        </a:ln>
      </xdr:spPr>
      <xdr:txBody>
        <a:bodyPr vertOverflow="clip" wrap="square"/>
        <a:p>
          <a:pPr algn="just">
            <a:defRPr/>
          </a:pPr>
          <a:r>
            <a:rPr lang="en-US" cap="none" sz="1100" b="0" i="0" u="none" baseline="0">
              <a:latin typeface="Times New Roman"/>
              <a:ea typeface="Times New Roman"/>
              <a:cs typeface="Times New Roman"/>
            </a:rPr>
            <a:t>No corresponding period comparative figures is available as this is the first year the Condensed Consolidated Cash Flow Statement is included in the Quarterly Report.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38100</xdr:rowOff>
    </xdr:from>
    <xdr:to>
      <xdr:col>8</xdr:col>
      <xdr:colOff>942975</xdr:colOff>
      <xdr:row>31</xdr:row>
      <xdr:rowOff>104775</xdr:rowOff>
    </xdr:to>
    <xdr:sp>
      <xdr:nvSpPr>
        <xdr:cNvPr id="1" name="TextBox 1"/>
        <xdr:cNvSpPr txBox="1">
          <a:spLocks noChangeArrowheads="1"/>
        </xdr:cNvSpPr>
      </xdr:nvSpPr>
      <xdr:spPr>
        <a:xfrm>
          <a:off x="123825" y="5086350"/>
          <a:ext cx="6810375" cy="1019175"/>
        </a:xfrm>
        <a:prstGeom prst="rect">
          <a:avLst/>
        </a:prstGeom>
        <a:noFill/>
        <a:ln w="9525" cmpd="sng">
          <a:noFill/>
        </a:ln>
      </xdr:spPr>
      <xdr:txBody>
        <a:bodyPr vertOverflow="clip" wrap="square"/>
        <a:p>
          <a:pPr algn="just">
            <a:defRPr/>
          </a:pPr>
          <a:r>
            <a:rPr lang="en-US" cap="none" sz="1100" b="0" i="0" u="none" baseline="0">
              <a:latin typeface="Times New Roman"/>
              <a:ea typeface="Times New Roman"/>
              <a:cs typeface="Times New Roman"/>
            </a:rPr>
            <a:t>No corresponding period comparative figures is available as this is the first year the Condensed Consolidated Statement of Changes in Equity is included in the Quarterly Report.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 of Changes in Equity should be read in conjunction with the Annual Financial Report for the year ended 31 December 2001.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7</xdr:col>
      <xdr:colOff>0</xdr:colOff>
      <xdr:row>14</xdr:row>
      <xdr:rowOff>19050</xdr:rowOff>
    </xdr:to>
    <xdr:sp>
      <xdr:nvSpPr>
        <xdr:cNvPr id="1" name="TextBox 1"/>
        <xdr:cNvSpPr txBox="1">
          <a:spLocks noChangeArrowheads="1"/>
        </xdr:cNvSpPr>
      </xdr:nvSpPr>
      <xdr:spPr>
        <a:xfrm>
          <a:off x="285750" y="1009650"/>
          <a:ext cx="5067300" cy="1304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paragraph 9.22 of the Kuala Lumpur Stock Exchange Listing Requirements, and should be read in conjunction with the Group's annual audited financial statements for the year ended 31 December 2001.
The accounting policies and presentation adopted for the interim financial report are consistent with those adopted for the annual audited financial statements for the year ended 31 December 2001.</a:t>
          </a:r>
        </a:p>
      </xdr:txBody>
    </xdr:sp>
    <xdr:clientData/>
  </xdr:twoCellAnchor>
  <xdr:twoCellAnchor>
    <xdr:from>
      <xdr:col>1</xdr:col>
      <xdr:colOff>9525</xdr:colOff>
      <xdr:row>18</xdr:row>
      <xdr:rowOff>9525</xdr:rowOff>
    </xdr:from>
    <xdr:to>
      <xdr:col>7</xdr:col>
      <xdr:colOff>9525</xdr:colOff>
      <xdr:row>19</xdr:row>
      <xdr:rowOff>95250</xdr:rowOff>
    </xdr:to>
    <xdr:sp>
      <xdr:nvSpPr>
        <xdr:cNvPr id="2" name="TextBox 2"/>
        <xdr:cNvSpPr txBox="1">
          <a:spLocks noChangeArrowheads="1"/>
        </xdr:cNvSpPr>
      </xdr:nvSpPr>
      <xdr:spPr>
        <a:xfrm>
          <a:off x="285750" y="2952750"/>
          <a:ext cx="5076825" cy="247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preceeding annual financial statements of the Group were reported without any qualification.</a:t>
          </a:r>
        </a:p>
      </xdr:txBody>
    </xdr:sp>
    <xdr:clientData/>
  </xdr:twoCellAnchor>
  <xdr:twoCellAnchor>
    <xdr:from>
      <xdr:col>0</xdr:col>
      <xdr:colOff>266700</xdr:colOff>
      <xdr:row>46</xdr:row>
      <xdr:rowOff>114300</xdr:rowOff>
    </xdr:from>
    <xdr:to>
      <xdr:col>6</xdr:col>
      <xdr:colOff>1000125</xdr:colOff>
      <xdr:row>49</xdr:row>
      <xdr:rowOff>0</xdr:rowOff>
    </xdr:to>
    <xdr:sp>
      <xdr:nvSpPr>
        <xdr:cNvPr id="3" name="TextBox 3"/>
        <xdr:cNvSpPr txBox="1">
          <a:spLocks noChangeArrowheads="1"/>
        </xdr:cNvSpPr>
      </xdr:nvSpPr>
      <xdr:spPr>
        <a:xfrm>
          <a:off x="266700" y="7600950"/>
          <a:ext cx="5067300"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56</xdr:row>
      <xdr:rowOff>0</xdr:rowOff>
    </xdr:from>
    <xdr:to>
      <xdr:col>7</xdr:col>
      <xdr:colOff>0</xdr:colOff>
      <xdr:row>56</xdr:row>
      <xdr:rowOff>0</xdr:rowOff>
    </xdr:to>
    <xdr:sp>
      <xdr:nvSpPr>
        <xdr:cNvPr id="4" name="TextBox 4"/>
        <xdr:cNvSpPr txBox="1">
          <a:spLocks noChangeArrowheads="1"/>
        </xdr:cNvSpPr>
      </xdr:nvSpPr>
      <xdr:spPr>
        <a:xfrm>
          <a:off x="266700" y="910590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56</xdr:row>
      <xdr:rowOff>0</xdr:rowOff>
    </xdr:from>
    <xdr:to>
      <xdr:col>6</xdr:col>
      <xdr:colOff>1009650</xdr:colOff>
      <xdr:row>56</xdr:row>
      <xdr:rowOff>0</xdr:rowOff>
    </xdr:to>
    <xdr:sp>
      <xdr:nvSpPr>
        <xdr:cNvPr id="5" name="TextBox 5"/>
        <xdr:cNvSpPr txBox="1">
          <a:spLocks noChangeArrowheads="1"/>
        </xdr:cNvSpPr>
      </xdr:nvSpPr>
      <xdr:spPr>
        <a:xfrm>
          <a:off x="285750" y="9105900"/>
          <a:ext cx="50577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59</xdr:row>
      <xdr:rowOff>114300</xdr:rowOff>
    </xdr:from>
    <xdr:to>
      <xdr:col>6</xdr:col>
      <xdr:colOff>1000125</xdr:colOff>
      <xdr:row>62</xdr:row>
      <xdr:rowOff>0</xdr:rowOff>
    </xdr:to>
    <xdr:sp>
      <xdr:nvSpPr>
        <xdr:cNvPr id="6" name="TextBox 6"/>
        <xdr:cNvSpPr txBox="1">
          <a:spLocks noChangeArrowheads="1"/>
        </xdr:cNvSpPr>
      </xdr:nvSpPr>
      <xdr:spPr>
        <a:xfrm>
          <a:off x="266700" y="9705975"/>
          <a:ext cx="5067300"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quarter and financial year to date.</a:t>
          </a:r>
        </a:p>
      </xdr:txBody>
    </xdr:sp>
    <xdr:clientData/>
  </xdr:twoCellAnchor>
  <xdr:twoCellAnchor>
    <xdr:from>
      <xdr:col>0</xdr:col>
      <xdr:colOff>257175</xdr:colOff>
      <xdr:row>66</xdr:row>
      <xdr:rowOff>19050</xdr:rowOff>
    </xdr:from>
    <xdr:to>
      <xdr:col>7</xdr:col>
      <xdr:colOff>0</xdr:colOff>
      <xdr:row>68</xdr:row>
      <xdr:rowOff>76200</xdr:rowOff>
    </xdr:to>
    <xdr:sp>
      <xdr:nvSpPr>
        <xdr:cNvPr id="7" name="TextBox 7"/>
        <xdr:cNvSpPr txBox="1">
          <a:spLocks noChangeArrowheads="1"/>
        </xdr:cNvSpPr>
      </xdr:nvSpPr>
      <xdr:spPr>
        <a:xfrm>
          <a:off x="257175" y="10744200"/>
          <a:ext cx="5095875" cy="3810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104</xdr:row>
      <xdr:rowOff>9525</xdr:rowOff>
    </xdr:from>
    <xdr:to>
      <xdr:col>7</xdr:col>
      <xdr:colOff>9525</xdr:colOff>
      <xdr:row>107</xdr:row>
      <xdr:rowOff>0</xdr:rowOff>
    </xdr:to>
    <xdr:sp>
      <xdr:nvSpPr>
        <xdr:cNvPr id="8" name="TextBox 8"/>
        <xdr:cNvSpPr txBox="1">
          <a:spLocks noChangeArrowheads="1"/>
        </xdr:cNvSpPr>
      </xdr:nvSpPr>
      <xdr:spPr>
        <a:xfrm>
          <a:off x="285750" y="16887825"/>
          <a:ext cx="5076825"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116</xdr:row>
      <xdr:rowOff>9525</xdr:rowOff>
    </xdr:from>
    <xdr:to>
      <xdr:col>7</xdr:col>
      <xdr:colOff>0</xdr:colOff>
      <xdr:row>118</xdr:row>
      <xdr:rowOff>28575</xdr:rowOff>
    </xdr:to>
    <xdr:sp>
      <xdr:nvSpPr>
        <xdr:cNvPr id="9" name="TextBox 9"/>
        <xdr:cNvSpPr txBox="1">
          <a:spLocks noChangeArrowheads="1"/>
        </xdr:cNvSpPr>
      </xdr:nvSpPr>
      <xdr:spPr>
        <a:xfrm>
          <a:off x="276225" y="18830925"/>
          <a:ext cx="5076825"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30 September 2002 are as follows:-</a:t>
          </a:r>
        </a:p>
      </xdr:txBody>
    </xdr:sp>
    <xdr:clientData/>
  </xdr:twoCellAnchor>
  <xdr:twoCellAnchor>
    <xdr:from>
      <xdr:col>1</xdr:col>
      <xdr:colOff>0</xdr:colOff>
      <xdr:row>136</xdr:row>
      <xdr:rowOff>133350</xdr:rowOff>
    </xdr:from>
    <xdr:to>
      <xdr:col>6</xdr:col>
      <xdr:colOff>990600</xdr:colOff>
      <xdr:row>138</xdr:row>
      <xdr:rowOff>66675</xdr:rowOff>
    </xdr:to>
    <xdr:sp>
      <xdr:nvSpPr>
        <xdr:cNvPr id="10" name="TextBox 10"/>
        <xdr:cNvSpPr txBox="1">
          <a:spLocks noChangeArrowheads="1"/>
        </xdr:cNvSpPr>
      </xdr:nvSpPr>
      <xdr:spPr>
        <a:xfrm>
          <a:off x="276225" y="22212300"/>
          <a:ext cx="504825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the date of this report.</a:t>
          </a:r>
        </a:p>
      </xdr:txBody>
    </xdr:sp>
    <xdr:clientData/>
  </xdr:twoCellAnchor>
  <xdr:twoCellAnchor>
    <xdr:from>
      <xdr:col>1</xdr:col>
      <xdr:colOff>0</xdr:colOff>
      <xdr:row>142</xdr:row>
      <xdr:rowOff>0</xdr:rowOff>
    </xdr:from>
    <xdr:to>
      <xdr:col>7</xdr:col>
      <xdr:colOff>19050</xdr:colOff>
      <xdr:row>144</xdr:row>
      <xdr:rowOff>76200</xdr:rowOff>
    </xdr:to>
    <xdr:sp>
      <xdr:nvSpPr>
        <xdr:cNvPr id="11" name="TextBox 11"/>
        <xdr:cNvSpPr txBox="1">
          <a:spLocks noChangeArrowheads="1"/>
        </xdr:cNvSpPr>
      </xdr:nvSpPr>
      <xdr:spPr>
        <a:xfrm>
          <a:off x="276225" y="23050500"/>
          <a:ext cx="509587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report.</a:t>
          </a:r>
        </a:p>
      </xdr:txBody>
    </xdr:sp>
    <xdr:clientData/>
  </xdr:twoCellAnchor>
  <xdr:twoCellAnchor>
    <xdr:from>
      <xdr:col>1</xdr:col>
      <xdr:colOff>0</xdr:colOff>
      <xdr:row>147</xdr:row>
      <xdr:rowOff>9525</xdr:rowOff>
    </xdr:from>
    <xdr:to>
      <xdr:col>6</xdr:col>
      <xdr:colOff>1009650</xdr:colOff>
      <xdr:row>148</xdr:row>
      <xdr:rowOff>114300</xdr:rowOff>
    </xdr:to>
    <xdr:sp>
      <xdr:nvSpPr>
        <xdr:cNvPr id="12" name="TextBox 12"/>
        <xdr:cNvSpPr txBox="1">
          <a:spLocks noChangeArrowheads="1"/>
        </xdr:cNvSpPr>
      </xdr:nvSpPr>
      <xdr:spPr>
        <a:xfrm>
          <a:off x="276225" y="23869650"/>
          <a:ext cx="50673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report.</a:t>
          </a:r>
        </a:p>
      </xdr:txBody>
    </xdr:sp>
    <xdr:clientData/>
  </xdr:twoCellAnchor>
  <xdr:twoCellAnchor>
    <xdr:from>
      <xdr:col>1</xdr:col>
      <xdr:colOff>0</xdr:colOff>
      <xdr:row>152</xdr:row>
      <xdr:rowOff>9525</xdr:rowOff>
    </xdr:from>
    <xdr:to>
      <xdr:col>7</xdr:col>
      <xdr:colOff>0</xdr:colOff>
      <xdr:row>154</xdr:row>
      <xdr:rowOff>104775</xdr:rowOff>
    </xdr:to>
    <xdr:sp>
      <xdr:nvSpPr>
        <xdr:cNvPr id="13" name="TextBox 13"/>
        <xdr:cNvSpPr txBox="1">
          <a:spLocks noChangeArrowheads="1"/>
        </xdr:cNvSpPr>
      </xdr:nvSpPr>
      <xdr:spPr>
        <a:xfrm>
          <a:off x="276225" y="24679275"/>
          <a:ext cx="50768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158</xdr:row>
      <xdr:rowOff>9525</xdr:rowOff>
    </xdr:from>
    <xdr:to>
      <xdr:col>7</xdr:col>
      <xdr:colOff>28575</xdr:colOff>
      <xdr:row>163</xdr:row>
      <xdr:rowOff>85725</xdr:rowOff>
    </xdr:to>
    <xdr:sp>
      <xdr:nvSpPr>
        <xdr:cNvPr id="14" name="TextBox 14"/>
        <xdr:cNvSpPr txBox="1">
          <a:spLocks noChangeArrowheads="1"/>
        </xdr:cNvSpPr>
      </xdr:nvSpPr>
      <xdr:spPr>
        <a:xfrm>
          <a:off x="276225" y="25650825"/>
          <a:ext cx="5105400" cy="885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was mainly due to the Mega Sales Carnival throughout the month of August. However,  Profit Before Tax decreased  from RM4.5 million to RM4.0 million in the current quarter as a result of higher discount given.</a:t>
          </a:r>
        </a:p>
      </xdr:txBody>
    </xdr:sp>
    <xdr:clientData/>
  </xdr:twoCellAnchor>
  <xdr:twoCellAnchor>
    <xdr:from>
      <xdr:col>1</xdr:col>
      <xdr:colOff>0</xdr:colOff>
      <xdr:row>185</xdr:row>
      <xdr:rowOff>9525</xdr:rowOff>
    </xdr:from>
    <xdr:to>
      <xdr:col>6</xdr:col>
      <xdr:colOff>1000125</xdr:colOff>
      <xdr:row>187</xdr:row>
      <xdr:rowOff>104775</xdr:rowOff>
    </xdr:to>
    <xdr:sp>
      <xdr:nvSpPr>
        <xdr:cNvPr id="15" name="TextBox 15"/>
        <xdr:cNvSpPr txBox="1">
          <a:spLocks noChangeArrowheads="1"/>
        </xdr:cNvSpPr>
      </xdr:nvSpPr>
      <xdr:spPr>
        <a:xfrm>
          <a:off x="276225" y="30022800"/>
          <a:ext cx="505777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anticipates that the Group's performance for the forthcoming period will remain satisfactory.</a:t>
          </a:r>
        </a:p>
      </xdr:txBody>
    </xdr:sp>
    <xdr:clientData/>
  </xdr:twoCellAnchor>
  <xdr:twoCellAnchor>
    <xdr:from>
      <xdr:col>1</xdr:col>
      <xdr:colOff>0</xdr:colOff>
      <xdr:row>191</xdr:row>
      <xdr:rowOff>9525</xdr:rowOff>
    </xdr:from>
    <xdr:to>
      <xdr:col>7</xdr:col>
      <xdr:colOff>9525</xdr:colOff>
      <xdr:row>194</xdr:row>
      <xdr:rowOff>76200</xdr:rowOff>
    </xdr:to>
    <xdr:sp>
      <xdr:nvSpPr>
        <xdr:cNvPr id="16" name="TextBox 16"/>
        <xdr:cNvSpPr txBox="1">
          <a:spLocks noChangeArrowheads="1"/>
        </xdr:cNvSpPr>
      </xdr:nvSpPr>
      <xdr:spPr>
        <a:xfrm>
          <a:off x="276225" y="30994350"/>
          <a:ext cx="5086350" cy="552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23 August 2002, the Company paid a final dividend of 5%, less tax at 28%, amounting to RM1.512 million in respect of  the financial year ended 31 December 2001. The directors do not recommend any dividend for the current quarter under review.</a:t>
          </a:r>
        </a:p>
      </xdr:txBody>
    </xdr:sp>
    <xdr:clientData/>
  </xdr:twoCellAnchor>
  <xdr:twoCellAnchor>
    <xdr:from>
      <xdr:col>1</xdr:col>
      <xdr:colOff>0</xdr:colOff>
      <xdr:row>180</xdr:row>
      <xdr:rowOff>9525</xdr:rowOff>
    </xdr:from>
    <xdr:to>
      <xdr:col>6</xdr:col>
      <xdr:colOff>1009650</xdr:colOff>
      <xdr:row>181</xdr:row>
      <xdr:rowOff>142875</xdr:rowOff>
    </xdr:to>
    <xdr:sp>
      <xdr:nvSpPr>
        <xdr:cNvPr id="17" name="TextBox 17"/>
        <xdr:cNvSpPr txBox="1">
          <a:spLocks noChangeArrowheads="1"/>
        </xdr:cNvSpPr>
      </xdr:nvSpPr>
      <xdr:spPr>
        <a:xfrm>
          <a:off x="276225" y="29213175"/>
          <a:ext cx="50673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year end festive seasons do have favourable effect on the operations of the Group.</a:t>
          </a:r>
        </a:p>
      </xdr:txBody>
    </xdr:sp>
    <xdr:clientData/>
  </xdr:twoCellAnchor>
  <xdr:twoCellAnchor>
    <xdr:from>
      <xdr:col>1</xdr:col>
      <xdr:colOff>0</xdr:colOff>
      <xdr:row>101</xdr:row>
      <xdr:rowOff>9525</xdr:rowOff>
    </xdr:from>
    <xdr:to>
      <xdr:col>7</xdr:col>
      <xdr:colOff>0</xdr:colOff>
      <xdr:row>103</xdr:row>
      <xdr:rowOff>47625</xdr:rowOff>
    </xdr:to>
    <xdr:sp>
      <xdr:nvSpPr>
        <xdr:cNvPr id="18" name="TextBox 18"/>
        <xdr:cNvSpPr txBox="1">
          <a:spLocks noChangeArrowheads="1"/>
        </xdr:cNvSpPr>
      </xdr:nvSpPr>
      <xdr:spPr>
        <a:xfrm>
          <a:off x="276225" y="16402050"/>
          <a:ext cx="5076825"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t>Details of  Issue, Cancellation, Repurchase, Resale and Repayment of Debt and Equity Securities</a:t>
          </a:r>
        </a:p>
      </xdr:txBody>
    </xdr:sp>
    <xdr:clientData/>
  </xdr:twoCellAnchor>
  <xdr:twoCellAnchor>
    <xdr:from>
      <xdr:col>1</xdr:col>
      <xdr:colOff>0</xdr:colOff>
      <xdr:row>167</xdr:row>
      <xdr:rowOff>9525</xdr:rowOff>
    </xdr:from>
    <xdr:to>
      <xdr:col>7</xdr:col>
      <xdr:colOff>0</xdr:colOff>
      <xdr:row>170</xdr:row>
      <xdr:rowOff>38100</xdr:rowOff>
    </xdr:to>
    <xdr:sp>
      <xdr:nvSpPr>
        <xdr:cNvPr id="19" name="TextBox 19"/>
        <xdr:cNvSpPr txBox="1">
          <a:spLocks noChangeArrowheads="1"/>
        </xdr:cNvSpPr>
      </xdr:nvSpPr>
      <xdr:spPr>
        <a:xfrm>
          <a:off x="276225" y="27108150"/>
          <a:ext cx="507682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0</xdr:col>
      <xdr:colOff>266700</xdr:colOff>
      <xdr:row>53</xdr:row>
      <xdr:rowOff>9525</xdr:rowOff>
    </xdr:from>
    <xdr:to>
      <xdr:col>7</xdr:col>
      <xdr:colOff>0</xdr:colOff>
      <xdr:row>55</xdr:row>
      <xdr:rowOff>9525</xdr:rowOff>
    </xdr:to>
    <xdr:sp>
      <xdr:nvSpPr>
        <xdr:cNvPr id="20" name="TextBox 20"/>
        <xdr:cNvSpPr txBox="1">
          <a:spLocks noChangeArrowheads="1"/>
        </xdr:cNvSpPr>
      </xdr:nvSpPr>
      <xdr:spPr>
        <a:xfrm>
          <a:off x="266700" y="8629650"/>
          <a:ext cx="5086350"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investments or properties for the current quarter and financial year to date.</a:t>
          </a:r>
        </a:p>
      </xdr:txBody>
    </xdr:sp>
    <xdr:clientData/>
  </xdr:twoCellAnchor>
  <xdr:twoCellAnchor>
    <xdr:from>
      <xdr:col>1</xdr:col>
      <xdr:colOff>0</xdr:colOff>
      <xdr:row>174</xdr:row>
      <xdr:rowOff>9525</xdr:rowOff>
    </xdr:from>
    <xdr:to>
      <xdr:col>7</xdr:col>
      <xdr:colOff>28575</xdr:colOff>
      <xdr:row>176</xdr:row>
      <xdr:rowOff>114300</xdr:rowOff>
    </xdr:to>
    <xdr:sp>
      <xdr:nvSpPr>
        <xdr:cNvPr id="21" name="TextBox 21"/>
        <xdr:cNvSpPr txBox="1">
          <a:spLocks noChangeArrowheads="1"/>
        </xdr:cNvSpPr>
      </xdr:nvSpPr>
      <xdr:spPr>
        <a:xfrm>
          <a:off x="276225" y="28241625"/>
          <a:ext cx="5105400"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material events subsequent to the end of the current financial period ended 30 September 2002 up to the date of this report.</a:t>
          </a:r>
        </a:p>
      </xdr:txBody>
    </xdr:sp>
    <xdr:clientData/>
  </xdr:twoCellAnchor>
  <xdr:twoCellAnchor>
    <xdr:from>
      <xdr:col>1</xdr:col>
      <xdr:colOff>0</xdr:colOff>
      <xdr:row>189</xdr:row>
      <xdr:rowOff>0</xdr:rowOff>
    </xdr:from>
    <xdr:to>
      <xdr:col>6</xdr:col>
      <xdr:colOff>1000125</xdr:colOff>
      <xdr:row>189</xdr:row>
      <xdr:rowOff>0</xdr:rowOff>
    </xdr:to>
    <xdr:sp>
      <xdr:nvSpPr>
        <xdr:cNvPr id="22" name="TextBox 22"/>
        <xdr:cNvSpPr txBox="1">
          <a:spLocks noChangeArrowheads="1"/>
        </xdr:cNvSpPr>
      </xdr:nvSpPr>
      <xdr:spPr>
        <a:xfrm>
          <a:off x="276225" y="30660975"/>
          <a:ext cx="50577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193</xdr:row>
      <xdr:rowOff>0</xdr:rowOff>
    </xdr:from>
    <xdr:to>
      <xdr:col>7</xdr:col>
      <xdr:colOff>9525</xdr:colOff>
      <xdr:row>193</xdr:row>
      <xdr:rowOff>0</xdr:rowOff>
    </xdr:to>
    <xdr:sp>
      <xdr:nvSpPr>
        <xdr:cNvPr id="23" name="TextBox 23"/>
        <xdr:cNvSpPr txBox="1">
          <a:spLocks noChangeArrowheads="1"/>
        </xdr:cNvSpPr>
      </xdr:nvSpPr>
      <xdr:spPr>
        <a:xfrm>
          <a:off x="276225" y="31308675"/>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at 23 May 2002, there were cost saving of  RM10,000 each arising from  purchase of machinery and listing expenses. The unutilised balance were used as working capital for the Group.</a:t>
          </a:r>
        </a:p>
      </xdr:txBody>
    </xdr:sp>
    <xdr:clientData/>
  </xdr:twoCellAnchor>
  <xdr:twoCellAnchor>
    <xdr:from>
      <xdr:col>1</xdr:col>
      <xdr:colOff>0</xdr:colOff>
      <xdr:row>27</xdr:row>
      <xdr:rowOff>0</xdr:rowOff>
    </xdr:from>
    <xdr:to>
      <xdr:col>7</xdr:col>
      <xdr:colOff>0</xdr:colOff>
      <xdr:row>29</xdr:row>
      <xdr:rowOff>9525</xdr:rowOff>
    </xdr:to>
    <xdr:sp>
      <xdr:nvSpPr>
        <xdr:cNvPr id="24" name="TextBox 24"/>
        <xdr:cNvSpPr txBox="1">
          <a:spLocks noChangeArrowheads="1"/>
        </xdr:cNvSpPr>
      </xdr:nvSpPr>
      <xdr:spPr>
        <a:xfrm>
          <a:off x="276225" y="4400550"/>
          <a:ext cx="50768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estimates of amounts reported in prior interim periods that have a material effect in the current interim period.</a:t>
          </a:r>
        </a:p>
      </xdr:txBody>
    </xdr:sp>
    <xdr:clientData/>
  </xdr:twoCellAnchor>
  <xdr:twoCellAnchor>
    <xdr:from>
      <xdr:col>2</xdr:col>
      <xdr:colOff>28575</xdr:colOff>
      <xdr:row>74</xdr:row>
      <xdr:rowOff>9525</xdr:rowOff>
    </xdr:from>
    <xdr:to>
      <xdr:col>7</xdr:col>
      <xdr:colOff>0</xdr:colOff>
      <xdr:row>78</xdr:row>
      <xdr:rowOff>76200</xdr:rowOff>
    </xdr:to>
    <xdr:sp>
      <xdr:nvSpPr>
        <xdr:cNvPr id="25" name="TextBox 25"/>
        <xdr:cNvSpPr txBox="1">
          <a:spLocks noChangeArrowheads="1"/>
        </xdr:cNvSpPr>
      </xdr:nvSpPr>
      <xdr:spPr>
        <a:xfrm>
          <a:off x="504825" y="12030075"/>
          <a:ext cx="4848225"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79</xdr:row>
      <xdr:rowOff>9525</xdr:rowOff>
    </xdr:from>
    <xdr:to>
      <xdr:col>7</xdr:col>
      <xdr:colOff>0</xdr:colOff>
      <xdr:row>82</xdr:row>
      <xdr:rowOff>104775</xdr:rowOff>
    </xdr:to>
    <xdr:sp>
      <xdr:nvSpPr>
        <xdr:cNvPr id="26" name="TextBox 26"/>
        <xdr:cNvSpPr txBox="1">
          <a:spLocks noChangeArrowheads="1"/>
        </xdr:cNvSpPr>
      </xdr:nvSpPr>
      <xdr:spPr>
        <a:xfrm>
          <a:off x="504825" y="12839700"/>
          <a:ext cx="4848225" cy="581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83</xdr:row>
      <xdr:rowOff>9525</xdr:rowOff>
    </xdr:from>
    <xdr:to>
      <xdr:col>7</xdr:col>
      <xdr:colOff>0</xdr:colOff>
      <xdr:row>87</xdr:row>
      <xdr:rowOff>66675</xdr:rowOff>
    </xdr:to>
    <xdr:sp>
      <xdr:nvSpPr>
        <xdr:cNvPr id="27" name="TextBox 27"/>
        <xdr:cNvSpPr txBox="1">
          <a:spLocks noChangeArrowheads="1"/>
        </xdr:cNvSpPr>
      </xdr:nvSpPr>
      <xdr:spPr>
        <a:xfrm>
          <a:off x="504825" y="13487400"/>
          <a:ext cx="48482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28575</xdr:colOff>
      <xdr:row>88</xdr:row>
      <xdr:rowOff>142875</xdr:rowOff>
    </xdr:from>
    <xdr:to>
      <xdr:col>6</xdr:col>
      <xdr:colOff>1009650</xdr:colOff>
      <xdr:row>100</xdr:row>
      <xdr:rowOff>19050</xdr:rowOff>
    </xdr:to>
    <xdr:sp>
      <xdr:nvSpPr>
        <xdr:cNvPr id="28" name="TextBox 28"/>
        <xdr:cNvSpPr txBox="1">
          <a:spLocks noChangeArrowheads="1"/>
        </xdr:cNvSpPr>
      </xdr:nvSpPr>
      <xdr:spPr>
        <a:xfrm>
          <a:off x="304800" y="14430375"/>
          <a:ext cx="5038725" cy="1819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has appointed K&amp;N Kenanga Berhad as advisor for  the above  proposals. 
On 13 November 2002, the Securities Commission ("SC") has approved the above proposals subject to the condition that the Company is required to comply with all the requirements in relation to "Transfer to Main Board of the Kuala Lumpur Stock Exchange" as provided under the SC's Policies and Guidelines on Issue / Offer of Securities, including the relevant guidelines on share capital and public shareholding spread prior to the implementation of the Proposed Transfer.
</a:t>
          </a:r>
        </a:p>
      </xdr:txBody>
    </xdr:sp>
    <xdr:clientData/>
  </xdr:twoCellAnchor>
  <xdr:twoCellAnchor>
    <xdr:from>
      <xdr:col>1</xdr:col>
      <xdr:colOff>0</xdr:colOff>
      <xdr:row>196</xdr:row>
      <xdr:rowOff>0</xdr:rowOff>
    </xdr:from>
    <xdr:to>
      <xdr:col>7</xdr:col>
      <xdr:colOff>9525</xdr:colOff>
      <xdr:row>196</xdr:row>
      <xdr:rowOff>0</xdr:rowOff>
    </xdr:to>
    <xdr:sp>
      <xdr:nvSpPr>
        <xdr:cNvPr id="29" name="TextBox 29"/>
        <xdr:cNvSpPr txBox="1">
          <a:spLocks noChangeArrowheads="1"/>
        </xdr:cNvSpPr>
      </xdr:nvSpPr>
      <xdr:spPr>
        <a:xfrm>
          <a:off x="276225" y="3179445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basic earnings per share has been calculated based on the profit attributable to shareholders for the respective periods and on the following weighted average number of ordinary shares of RM1 each issued during the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PYT%20Group%202002\PYT%20Group%2030%20September%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Qtr-Notes"/>
      <sheetName val="Qtr-Cashflow"/>
      <sheetName val="Qtr-Equity"/>
      <sheetName val="Qtr-BS (2)"/>
      <sheetName val="Qtr-P&amp;L (2)"/>
      <sheetName val="Qtr-BS"/>
      <sheetName val="Qtr-P&amp;L"/>
      <sheetName val="PYTGroup-BS"/>
      <sheetName val="PYTGroup-P&amp;L"/>
      <sheetName val="ConsolCashflow"/>
      <sheetName val="ConsolWPBS"/>
      <sheetName val="ConsolWPPL"/>
      <sheetName val="Ratio Control"/>
      <sheetName val="Consol adjustment"/>
      <sheetName val="Interco exp"/>
      <sheetName val="MI"/>
      <sheetName val="UP"/>
      <sheetName val="Expenses"/>
      <sheetName val="Cost of manufacturing"/>
      <sheetName val="Other income"/>
      <sheetName val="Sh-1 D&amp;P"/>
      <sheetName val="Sh-2 PYT GROUP"/>
      <sheetName val="Sh-3 B'sar"/>
      <sheetName val="Vital ratio"/>
      <sheetName val="PYTExpRatio"/>
      <sheetName val="BExpRatio"/>
      <sheetName val="AmExpRatio"/>
      <sheetName val="D&amp;PExpRatio"/>
      <sheetName val="IntiExpRatio"/>
      <sheetName val="BS"/>
      <sheetName val="P&amp;L"/>
      <sheetName val="Unrealised p"/>
      <sheetName val="SJ Inti"/>
      <sheetName val="FUP"/>
      <sheetName val="EPS Calculation"/>
    </sheetNames>
    <sheetDataSet>
      <sheetData sheetId="1">
        <row r="44">
          <cell r="F44">
            <v>0</v>
          </cell>
        </row>
      </sheetData>
      <sheetData sheetId="4">
        <row r="23">
          <cell r="C23">
            <v>2019.62574</v>
          </cell>
        </row>
        <row r="29">
          <cell r="C29">
            <v>15526.64449</v>
          </cell>
          <cell r="E29">
            <v>15560.235</v>
          </cell>
        </row>
        <row r="30">
          <cell r="C30">
            <v>4843.77742</v>
          </cell>
          <cell r="E30">
            <v>7055.438</v>
          </cell>
        </row>
        <row r="31">
          <cell r="C31">
            <v>7454.28991</v>
          </cell>
        </row>
        <row r="33">
          <cell r="C33">
            <v>372.36251999999996</v>
          </cell>
        </row>
        <row r="35">
          <cell r="C35">
            <v>200.02222</v>
          </cell>
          <cell r="E35">
            <v>0</v>
          </cell>
        </row>
        <row r="44">
          <cell r="C44">
            <v>42000</v>
          </cell>
        </row>
        <row r="46">
          <cell r="C46">
            <v>2506.56177</v>
          </cell>
        </row>
        <row r="47">
          <cell r="E47">
            <v>22765.536</v>
          </cell>
        </row>
        <row r="54">
          <cell r="C54">
            <v>450.21001</v>
          </cell>
        </row>
        <row r="55">
          <cell r="C55">
            <v>5102.924180000001</v>
          </cell>
        </row>
      </sheetData>
      <sheetData sheetId="5">
        <row r="32">
          <cell r="B32">
            <v>-1002.0262561000009</v>
          </cell>
        </row>
        <row r="38">
          <cell r="F38">
            <v>7762.68587614001</v>
          </cell>
        </row>
      </sheetData>
      <sheetData sheetId="10">
        <row r="7">
          <cell r="S7">
            <v>11473.709597000006</v>
          </cell>
        </row>
        <row r="10">
          <cell r="S10">
            <v>972.6179500000001</v>
          </cell>
        </row>
        <row r="11">
          <cell r="S11">
            <v>746.7663799999999</v>
          </cell>
        </row>
        <row r="14">
          <cell r="S14">
            <v>236.71878999999998</v>
          </cell>
        </row>
        <row r="16">
          <cell r="S16">
            <v>-115.83342</v>
          </cell>
        </row>
        <row r="22">
          <cell r="S22">
            <v>-5223.663310000017</v>
          </cell>
        </row>
        <row r="23">
          <cell r="S23">
            <v>705.9627800000001</v>
          </cell>
        </row>
        <row r="35">
          <cell r="S35">
            <v>-4447.965477</v>
          </cell>
        </row>
        <row r="36">
          <cell r="S36">
            <v>25.15791</v>
          </cell>
        </row>
        <row r="37">
          <cell r="S37">
            <v>-1512</v>
          </cell>
        </row>
        <row r="45">
          <cell r="S45">
            <v>-1657.91773</v>
          </cell>
        </row>
        <row r="46">
          <cell r="S46">
            <v>148.51867</v>
          </cell>
        </row>
        <row r="52">
          <cell r="S52">
            <v>680</v>
          </cell>
        </row>
        <row r="53">
          <cell r="S53">
            <v>-194.84035999999998</v>
          </cell>
        </row>
        <row r="54">
          <cell r="S54">
            <v>-389.8854</v>
          </cell>
        </row>
        <row r="60">
          <cell r="S60">
            <v>-4090.176</v>
          </cell>
        </row>
      </sheetData>
      <sheetData sheetId="11">
        <row r="6">
          <cell r="V6">
            <v>23606821.11</v>
          </cell>
        </row>
        <row r="7">
          <cell r="V7">
            <v>0</v>
          </cell>
        </row>
        <row r="14">
          <cell r="V14">
            <v>82976176.31000002</v>
          </cell>
        </row>
        <row r="15">
          <cell r="V15">
            <v>1471121.25</v>
          </cell>
        </row>
        <row r="16">
          <cell r="V16">
            <v>1588644.26</v>
          </cell>
        </row>
        <row r="17">
          <cell r="V17">
            <v>31266.71</v>
          </cell>
        </row>
        <row r="18">
          <cell r="V18">
            <v>799.7</v>
          </cell>
        </row>
        <row r="19">
          <cell r="V19">
            <v>28612.5</v>
          </cell>
        </row>
        <row r="20">
          <cell r="V20">
            <v>1991013.24</v>
          </cell>
        </row>
        <row r="26">
          <cell r="V26">
            <v>15526144.49</v>
          </cell>
        </row>
        <row r="27">
          <cell r="V27">
            <v>1101352.71</v>
          </cell>
        </row>
        <row r="28">
          <cell r="V28">
            <v>3402062.71</v>
          </cell>
        </row>
        <row r="29">
          <cell r="V29">
            <v>7454289.91</v>
          </cell>
        </row>
        <row r="30">
          <cell r="V30">
            <v>471592.44</v>
          </cell>
        </row>
        <row r="31">
          <cell r="V31">
            <v>-528000</v>
          </cell>
        </row>
        <row r="32">
          <cell r="V32">
            <v>-4860360.397</v>
          </cell>
        </row>
        <row r="33">
          <cell r="V33">
            <v>5690826.256100001</v>
          </cell>
        </row>
        <row r="34">
          <cell r="V34">
            <v>137862</v>
          </cell>
        </row>
        <row r="35">
          <cell r="V35">
            <v>372362.51999999996</v>
          </cell>
        </row>
        <row r="36">
          <cell r="V36">
            <v>0</v>
          </cell>
        </row>
        <row r="37">
          <cell r="V37">
            <v>2500</v>
          </cell>
        </row>
        <row r="38">
          <cell r="V38">
            <v>200821.92</v>
          </cell>
        </row>
        <row r="39">
          <cell r="V39">
            <v>0</v>
          </cell>
        </row>
        <row r="48">
          <cell r="V48">
            <v>42000000</v>
          </cell>
        </row>
        <row r="49">
          <cell r="V49">
            <v>2506561.77</v>
          </cell>
        </row>
        <row r="50">
          <cell r="V50">
            <v>29016722.096139997</v>
          </cell>
        </row>
        <row r="53">
          <cell r="V53">
            <v>3243582.4647600004</v>
          </cell>
        </row>
        <row r="55">
          <cell r="V55">
            <v>451210.01</v>
          </cell>
        </row>
        <row r="56">
          <cell r="V56">
            <v>5302924.180000001</v>
          </cell>
        </row>
        <row r="58">
          <cell r="V58">
            <v>202000</v>
          </cell>
        </row>
      </sheetData>
      <sheetData sheetId="12">
        <row r="8">
          <cell r="V8">
            <v>71645774.39</v>
          </cell>
        </row>
        <row r="12">
          <cell r="V12">
            <v>44931341.059999995</v>
          </cell>
        </row>
        <row r="17">
          <cell r="V17">
            <v>319591.33000000194</v>
          </cell>
        </row>
        <row r="22">
          <cell r="V22">
            <v>7927585.390000001</v>
          </cell>
        </row>
        <row r="23">
          <cell r="V23">
            <v>5951320.012999999</v>
          </cell>
        </row>
        <row r="24">
          <cell r="V24">
            <v>746766.3700000001</v>
          </cell>
        </row>
        <row r="25">
          <cell r="V25">
            <v>52484.79000000001</v>
          </cell>
        </row>
        <row r="26">
          <cell r="V26">
            <v>882158.5000000001</v>
          </cell>
        </row>
        <row r="33">
          <cell r="V33">
            <v>2735026.256100001</v>
          </cell>
        </row>
        <row r="37">
          <cell r="V37">
            <v>975497.4647600005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tabSelected="1" workbookViewId="0" topLeftCell="B38">
      <selection activeCell="F54" sqref="F54"/>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7" customWidth="1"/>
    <col min="7" max="7" width="1.8515625" style="2" customWidth="1"/>
    <col min="8" max="8" width="19.7109375" style="2" customWidth="1"/>
  </cols>
  <sheetData>
    <row r="1" spans="1:8" ht="18.75">
      <c r="A1" s="1" t="s">
        <v>0</v>
      </c>
      <c r="D1" s="3"/>
      <c r="E1" s="3"/>
      <c r="F1" s="4"/>
      <c r="G1" s="3"/>
      <c r="H1" s="3"/>
    </row>
    <row r="2" spans="1:8" ht="15">
      <c r="A2" s="5"/>
      <c r="B2" s="3"/>
      <c r="C2" s="3"/>
      <c r="D2" s="3"/>
      <c r="E2" s="3"/>
      <c r="F2" s="4"/>
      <c r="G2" s="3"/>
      <c r="H2" s="3"/>
    </row>
    <row r="3" ht="15">
      <c r="A3" s="6" t="s">
        <v>1</v>
      </c>
    </row>
    <row r="4" ht="15">
      <c r="A4" s="8" t="s">
        <v>28</v>
      </c>
    </row>
    <row r="5" ht="15">
      <c r="A5" s="9" t="s">
        <v>2</v>
      </c>
    </row>
    <row r="6" spans="1:8" ht="15">
      <c r="A6" s="10"/>
      <c r="B6" s="11"/>
      <c r="C6" s="11"/>
      <c r="D6" s="11"/>
      <c r="E6" s="11"/>
      <c r="F6" s="12"/>
      <c r="G6" s="11"/>
      <c r="H6" s="11"/>
    </row>
    <row r="7" spans="1:8" ht="15">
      <c r="A7" s="13" t="s">
        <v>3</v>
      </c>
      <c r="B7" s="11"/>
      <c r="C7" s="11"/>
      <c r="D7" s="11"/>
      <c r="E7" s="11"/>
      <c r="F7" s="12"/>
      <c r="G7" s="11"/>
      <c r="H7" s="11"/>
    </row>
    <row r="8" spans="1:8" ht="15">
      <c r="A8" s="13"/>
      <c r="B8" s="11"/>
      <c r="C8" s="11"/>
      <c r="D8" s="11"/>
      <c r="E8" s="11"/>
      <c r="F8" s="12"/>
      <c r="G8" s="11"/>
      <c r="H8" s="11"/>
    </row>
    <row r="9" spans="1:8" ht="15">
      <c r="A9" s="11"/>
      <c r="B9" s="11"/>
      <c r="C9" s="11"/>
      <c r="D9" s="11"/>
      <c r="E9" s="11"/>
      <c r="F9" s="12"/>
      <c r="G9" s="11"/>
      <c r="H9" s="11"/>
    </row>
    <row r="10" spans="1:8" ht="15">
      <c r="A10" s="11"/>
      <c r="B10" s="205" t="s">
        <v>4</v>
      </c>
      <c r="C10" s="206"/>
      <c r="D10" s="207"/>
      <c r="E10" s="14"/>
      <c r="F10" s="205" t="s">
        <v>5</v>
      </c>
      <c r="G10" s="206"/>
      <c r="H10" s="207"/>
    </row>
    <row r="11" spans="1:8" ht="15">
      <c r="A11" s="11"/>
      <c r="B11" s="15"/>
      <c r="C11" s="11"/>
      <c r="D11" s="16"/>
      <c r="E11" s="11"/>
      <c r="F11" s="17"/>
      <c r="G11" s="11"/>
      <c r="H11" s="16"/>
    </row>
    <row r="12" spans="1:8" ht="15">
      <c r="A12" s="11"/>
      <c r="B12" s="15"/>
      <c r="C12" s="11"/>
      <c r="D12" s="18"/>
      <c r="E12" s="19"/>
      <c r="F12" s="20"/>
      <c r="G12" s="19"/>
      <c r="H12" s="18"/>
    </row>
    <row r="13" spans="1:8" ht="15">
      <c r="A13" s="11"/>
      <c r="B13" s="21" t="s">
        <v>6</v>
      </c>
      <c r="C13" s="19"/>
      <c r="D13" s="18" t="s">
        <v>7</v>
      </c>
      <c r="E13" s="19"/>
      <c r="F13" s="20" t="s">
        <v>6</v>
      </c>
      <c r="G13" s="19"/>
      <c r="H13" s="18" t="s">
        <v>7</v>
      </c>
    </row>
    <row r="14" spans="1:8" ht="15">
      <c r="A14" s="11"/>
      <c r="B14" s="21" t="s">
        <v>8</v>
      </c>
      <c r="C14" s="19"/>
      <c r="D14" s="18" t="s">
        <v>8</v>
      </c>
      <c r="E14" s="19"/>
      <c r="F14" s="22" t="s">
        <v>9</v>
      </c>
      <c r="G14" s="23"/>
      <c r="H14" s="24" t="s">
        <v>9</v>
      </c>
    </row>
    <row r="15" spans="1:8" ht="15">
      <c r="A15" s="11"/>
      <c r="B15" s="21" t="s">
        <v>10</v>
      </c>
      <c r="C15" s="19"/>
      <c r="D15" s="18" t="s">
        <v>10</v>
      </c>
      <c r="E15" s="19"/>
      <c r="F15" s="22" t="s">
        <v>10</v>
      </c>
      <c r="G15" s="25"/>
      <c r="H15" s="18" t="s">
        <v>10</v>
      </c>
    </row>
    <row r="16" spans="1:8" ht="15">
      <c r="A16" s="11"/>
      <c r="B16" s="26" t="s">
        <v>11</v>
      </c>
      <c r="C16" s="23"/>
      <c r="D16" s="24" t="s">
        <v>12</v>
      </c>
      <c r="E16" s="25"/>
      <c r="F16" s="22" t="s">
        <v>11</v>
      </c>
      <c r="G16" s="23"/>
      <c r="H16" s="24" t="s">
        <v>12</v>
      </c>
    </row>
    <row r="17" spans="1:8" ht="14.25">
      <c r="A17" s="27"/>
      <c r="B17" s="28" t="s">
        <v>13</v>
      </c>
      <c r="C17" s="29"/>
      <c r="D17" s="30" t="s">
        <v>13</v>
      </c>
      <c r="E17" s="29"/>
      <c r="F17" s="28" t="s">
        <v>13</v>
      </c>
      <c r="G17" s="29"/>
      <c r="H17" s="30" t="s">
        <v>13</v>
      </c>
    </row>
    <row r="18" spans="1:8" ht="15">
      <c r="A18" s="11"/>
      <c r="B18" s="31"/>
      <c r="C18" s="32"/>
      <c r="D18" s="33"/>
      <c r="E18" s="11"/>
      <c r="F18" s="31"/>
      <c r="G18" s="32"/>
      <c r="H18" s="33"/>
    </row>
    <row r="19" spans="1:8" ht="15">
      <c r="A19" s="11"/>
      <c r="B19" s="34"/>
      <c r="C19" s="34"/>
      <c r="D19" s="11"/>
      <c r="E19" s="11"/>
      <c r="F19" s="35"/>
      <c r="G19" s="34"/>
      <c r="H19" s="11"/>
    </row>
    <row r="20" spans="1:8" ht="15">
      <c r="A20" s="11" t="s">
        <v>14</v>
      </c>
      <c r="B20" s="25">
        <v>23632</v>
      </c>
      <c r="C20" s="25"/>
      <c r="D20" s="25">
        <v>22113</v>
      </c>
      <c r="E20" s="25"/>
      <c r="F20" s="36">
        <f>(('[1]ConsolWPPL'!V8)/1000)-0.3</f>
        <v>71645.47439</v>
      </c>
      <c r="G20" s="25"/>
      <c r="H20" s="25">
        <v>60311</v>
      </c>
    </row>
    <row r="21" spans="1:8" ht="15">
      <c r="A21" s="11"/>
      <c r="B21" s="25"/>
      <c r="C21" s="25"/>
      <c r="D21" s="25"/>
      <c r="E21" s="25"/>
      <c r="F21" s="36"/>
      <c r="G21" s="25"/>
      <c r="H21" s="25"/>
    </row>
    <row r="22" spans="1:8" ht="15">
      <c r="A22" s="11" t="s">
        <v>15</v>
      </c>
      <c r="B22" s="25">
        <v>-19408</v>
      </c>
      <c r="C22" s="25"/>
      <c r="D22" s="25">
        <f>-16983-314</f>
        <v>-17297</v>
      </c>
      <c r="E22" s="25"/>
      <c r="F22" s="36">
        <f>-('[1]ConsolWPPL'!V12+'[1]ConsolWPPL'!V22+'[1]ConsolWPPL'!V23+'[1]ConsolWPPL'!V26)/1000</f>
        <v>-59692.40496299999</v>
      </c>
      <c r="G22" s="25"/>
      <c r="H22" s="25">
        <f>(-(37320680+6451376+5087124+31844+908655)/1000)-1</f>
        <v>-49800.679</v>
      </c>
    </row>
    <row r="23" spans="1:8" ht="15">
      <c r="A23" s="11"/>
      <c r="B23" s="25"/>
      <c r="C23" s="25"/>
      <c r="D23" s="25"/>
      <c r="E23" s="25"/>
      <c r="F23" s="36"/>
      <c r="G23" s="25"/>
      <c r="H23" s="25"/>
    </row>
    <row r="24" spans="1:8" ht="15">
      <c r="A24" s="11" t="s">
        <v>16</v>
      </c>
      <c r="B24" s="37">
        <v>86</v>
      </c>
      <c r="C24" s="25"/>
      <c r="D24" s="37">
        <v>95</v>
      </c>
      <c r="E24" s="25"/>
      <c r="F24" s="38">
        <f>'[1]ConsolWPPL'!V17/1000</f>
        <v>319.59133000000196</v>
      </c>
      <c r="G24" s="25"/>
      <c r="H24" s="37">
        <f>321616/1000</f>
        <v>321.616</v>
      </c>
    </row>
    <row r="25" spans="1:8" ht="15">
      <c r="A25" s="11"/>
      <c r="B25" s="25"/>
      <c r="C25" s="25"/>
      <c r="D25" s="25"/>
      <c r="E25" s="25"/>
      <c r="F25" s="36"/>
      <c r="G25" s="25"/>
      <c r="H25" s="25"/>
    </row>
    <row r="26" spans="1:8" ht="15">
      <c r="A26" s="11" t="s">
        <v>17</v>
      </c>
      <c r="B26" s="25">
        <v>4310</v>
      </c>
      <c r="C26" s="25"/>
      <c r="D26" s="25">
        <f>D20+D22+D24</f>
        <v>4911</v>
      </c>
      <c r="E26" s="25"/>
      <c r="F26" s="36">
        <f>SUM(F20:F25)</f>
        <v>12272.66075700001</v>
      </c>
      <c r="G26" s="25"/>
      <c r="H26" s="36">
        <f>SUM(H20:H25)</f>
        <v>10831.937000000004</v>
      </c>
    </row>
    <row r="27" spans="1:8" ht="15">
      <c r="A27" s="11"/>
      <c r="B27" s="25"/>
      <c r="C27" s="25"/>
      <c r="D27" s="25"/>
      <c r="E27" s="25"/>
      <c r="F27" s="36"/>
      <c r="G27" s="25"/>
      <c r="H27" s="25"/>
    </row>
    <row r="28" spans="1:8" ht="15">
      <c r="A28" s="39" t="s">
        <v>18</v>
      </c>
      <c r="B28" s="37">
        <v>-276</v>
      </c>
      <c r="C28" s="25"/>
      <c r="D28" s="37">
        <v>-387</v>
      </c>
      <c r="E28" s="25"/>
      <c r="F28" s="38">
        <f>((-'[1]ConsolWPPL'!V24-'[1]ConsolWPPL'!V25)/1000)+0.3</f>
        <v>-798.9511600000002</v>
      </c>
      <c r="G28" s="25"/>
      <c r="H28" s="37">
        <f>(-990342/1000)+0.342</f>
        <v>-990</v>
      </c>
    </row>
    <row r="29" spans="1:8" ht="15">
      <c r="A29" s="11"/>
      <c r="B29" s="25"/>
      <c r="C29" s="25"/>
      <c r="D29" s="25"/>
      <c r="E29" s="25"/>
      <c r="F29" s="36"/>
      <c r="G29" s="25"/>
      <c r="H29" s="25"/>
    </row>
    <row r="30" spans="1:8" ht="15">
      <c r="A30" s="12" t="s">
        <v>19</v>
      </c>
      <c r="B30" s="25">
        <v>4034</v>
      </c>
      <c r="C30" s="36"/>
      <c r="D30" s="36">
        <f>D26+D28</f>
        <v>4524</v>
      </c>
      <c r="E30" s="36"/>
      <c r="F30" s="36">
        <f>F26+F28</f>
        <v>11473.70959700001</v>
      </c>
      <c r="G30" s="36"/>
      <c r="H30" s="36">
        <f>H26+H28</f>
        <v>9841.937000000004</v>
      </c>
    </row>
    <row r="31" spans="1:8" ht="15">
      <c r="A31" s="12"/>
      <c r="B31" s="36"/>
      <c r="C31" s="36"/>
      <c r="D31" s="36"/>
      <c r="E31" s="36"/>
      <c r="F31" s="36"/>
      <c r="G31" s="36"/>
      <c r="H31" s="40"/>
    </row>
    <row r="32" spans="1:8" ht="15">
      <c r="A32" s="11" t="s">
        <v>20</v>
      </c>
      <c r="B32" s="37">
        <v>-1002</v>
      </c>
      <c r="D32" s="38">
        <v>-1336</v>
      </c>
      <c r="E32" s="36"/>
      <c r="F32" s="38">
        <f>-('[1]ConsolWPPL'!V33/1000)</f>
        <v>-2735.026256100001</v>
      </c>
      <c r="G32" s="36"/>
      <c r="H32" s="41">
        <f>-2499694/1000</f>
        <v>-2499.694</v>
      </c>
    </row>
    <row r="33" spans="1:8" ht="15">
      <c r="A33" s="11"/>
      <c r="D33" s="36"/>
      <c r="E33" s="36"/>
      <c r="F33" s="36"/>
      <c r="G33" s="36"/>
      <c r="H33" s="40"/>
    </row>
    <row r="34" spans="1:8" ht="15">
      <c r="A34" s="11" t="s">
        <v>21</v>
      </c>
      <c r="B34" s="25">
        <v>3032</v>
      </c>
      <c r="C34" s="12"/>
      <c r="D34" s="42">
        <f>SUM(D30:D33)</f>
        <v>3188</v>
      </c>
      <c r="E34" s="12"/>
      <c r="F34" s="42">
        <f>SUM(F30:F33)</f>
        <v>8738.68334090001</v>
      </c>
      <c r="G34" s="12"/>
      <c r="H34" s="43">
        <f>SUM(H30:H33)</f>
        <v>7342.243000000004</v>
      </c>
    </row>
    <row r="35" spans="1:8" ht="15">
      <c r="A35" s="11"/>
      <c r="B35" s="11"/>
      <c r="C35" s="11"/>
      <c r="D35" s="11"/>
      <c r="E35" s="11"/>
      <c r="F35" s="12"/>
      <c r="G35" s="11"/>
      <c r="H35" s="11"/>
    </row>
    <row r="36" spans="1:8" ht="15">
      <c r="A36" s="11" t="s">
        <v>22</v>
      </c>
      <c r="B36" s="37">
        <v>-402</v>
      </c>
      <c r="C36" s="11"/>
      <c r="D36" s="44">
        <v>-253</v>
      </c>
      <c r="E36" s="11"/>
      <c r="F36" s="45">
        <f>-'[1]ConsolWPPL'!V37/1000-0.5</f>
        <v>-975.9974647600004</v>
      </c>
      <c r="G36" s="11"/>
      <c r="H36" s="46">
        <f>-495731/1000</f>
        <v>-495.731</v>
      </c>
    </row>
    <row r="37" spans="1:8" ht="15">
      <c r="A37" s="11"/>
      <c r="B37" s="25"/>
      <c r="C37" s="11"/>
      <c r="D37" s="47"/>
      <c r="E37" s="11"/>
      <c r="F37" s="42"/>
      <c r="G37" s="11"/>
      <c r="H37" s="48"/>
    </row>
    <row r="38" spans="1:8" ht="15.75" thickBot="1">
      <c r="A38" s="11" t="s">
        <v>23</v>
      </c>
      <c r="B38" s="49">
        <f>B34+B36</f>
        <v>2630</v>
      </c>
      <c r="C38" s="11"/>
      <c r="D38" s="49">
        <f>D34+D36</f>
        <v>2935</v>
      </c>
      <c r="E38" s="11"/>
      <c r="F38" s="49">
        <f>F34+F36</f>
        <v>7762.68587614001</v>
      </c>
      <c r="G38" s="11"/>
      <c r="H38" s="49">
        <f>H34+H36-1</f>
        <v>6845.512000000004</v>
      </c>
    </row>
    <row r="39" spans="1:8" ht="15">
      <c r="A39" s="11"/>
      <c r="B39" s="25"/>
      <c r="C39" s="11"/>
      <c r="D39" s="25"/>
      <c r="E39" s="11"/>
      <c r="F39" s="25"/>
      <c r="G39" s="11"/>
      <c r="H39" s="25"/>
    </row>
    <row r="40" spans="1:8" ht="15">
      <c r="A40" s="11"/>
      <c r="B40" s="11"/>
      <c r="C40" s="11"/>
      <c r="D40" s="11"/>
      <c r="E40" s="11"/>
      <c r="F40" s="12"/>
      <c r="G40" s="11"/>
      <c r="H40" s="11"/>
    </row>
    <row r="41" spans="1:8" ht="15">
      <c r="A41" s="11" t="s">
        <v>168</v>
      </c>
      <c r="B41" s="10"/>
      <c r="C41" s="10"/>
      <c r="D41" s="10"/>
      <c r="E41" s="10"/>
      <c r="F41" s="10"/>
      <c r="G41" s="10"/>
      <c r="H41" s="10"/>
    </row>
    <row r="42" spans="1:8" ht="15">
      <c r="A42" s="11" t="s">
        <v>24</v>
      </c>
      <c r="B42" s="50">
        <f>(B34+B36)/42000*100</f>
        <v>6.261904761904762</v>
      </c>
      <c r="C42" s="11"/>
      <c r="D42" s="51">
        <v>8.27</v>
      </c>
      <c r="E42" s="11"/>
      <c r="F42" s="52">
        <f>F38/42000*100</f>
        <v>18.482585419380975</v>
      </c>
      <c r="G42" s="11"/>
      <c r="H42" s="51">
        <v>29.15</v>
      </c>
    </row>
    <row r="43" spans="1:8" ht="15">
      <c r="A43" s="11"/>
      <c r="B43" s="50"/>
      <c r="C43" s="11"/>
      <c r="D43" s="51"/>
      <c r="E43" s="11"/>
      <c r="F43" s="52"/>
      <c r="G43" s="11"/>
      <c r="H43" s="51"/>
    </row>
    <row r="44" spans="1:8" ht="15">
      <c r="A44" s="11"/>
      <c r="B44" s="50"/>
      <c r="C44" s="11"/>
      <c r="D44" s="51"/>
      <c r="E44" s="11"/>
      <c r="F44" s="52"/>
      <c r="G44" s="11"/>
      <c r="H44" s="51"/>
    </row>
    <row r="45" spans="1:8" ht="15">
      <c r="A45" s="11"/>
      <c r="B45" s="204" t="s">
        <v>169</v>
      </c>
      <c r="C45" s="50"/>
      <c r="D45" s="204" t="s">
        <v>169</v>
      </c>
      <c r="E45" s="50"/>
      <c r="F45" s="204" t="s">
        <v>169</v>
      </c>
      <c r="G45" s="50"/>
      <c r="H45" s="204" t="s">
        <v>169</v>
      </c>
    </row>
    <row r="46" spans="1:8" ht="15">
      <c r="A46" s="11"/>
      <c r="B46" s="50"/>
      <c r="C46" s="11"/>
      <c r="D46" s="51"/>
      <c r="E46" s="11"/>
      <c r="F46" s="52"/>
      <c r="G46" s="11"/>
      <c r="H46" s="51"/>
    </row>
    <row r="47" spans="2:8" ht="15">
      <c r="B47" s="54"/>
      <c r="C47" s="53"/>
      <c r="D47" s="55"/>
      <c r="E47" s="53"/>
      <c r="F47" s="56"/>
      <c r="G47" s="53"/>
      <c r="H47" s="55"/>
    </row>
    <row r="49" spans="1:8" ht="15">
      <c r="A49" s="53"/>
      <c r="B49" s="57">
        <v>42000</v>
      </c>
      <c r="C49" s="53"/>
      <c r="D49" s="58">
        <v>35500</v>
      </c>
      <c r="E49" s="53"/>
      <c r="F49" s="59">
        <v>42000</v>
      </c>
      <c r="G49" s="53"/>
      <c r="H49" s="58">
        <v>23490</v>
      </c>
    </row>
    <row r="50" spans="1:8" ht="15">
      <c r="A50" s="53"/>
      <c r="B50" s="57"/>
      <c r="C50" s="53"/>
      <c r="D50" s="58"/>
      <c r="E50" s="53"/>
      <c r="F50" s="59"/>
      <c r="G50" s="53"/>
      <c r="H50" s="58"/>
    </row>
    <row r="51" spans="1:8" ht="15">
      <c r="A51" s="11"/>
      <c r="B51" s="60"/>
      <c r="C51" s="11"/>
      <c r="D51" s="51"/>
      <c r="E51" s="11"/>
      <c r="F51" s="52"/>
      <c r="G51" s="11"/>
      <c r="H51" s="51"/>
    </row>
    <row r="52" spans="1:8" ht="15">
      <c r="A52" s="11" t="s">
        <v>25</v>
      </c>
      <c r="B52" s="210" t="s">
        <v>171</v>
      </c>
      <c r="C52" s="11"/>
      <c r="D52" s="61" t="s">
        <v>171</v>
      </c>
      <c r="E52" s="11"/>
      <c r="F52" s="211" t="s">
        <v>171</v>
      </c>
      <c r="G52" s="11"/>
      <c r="H52" s="61" t="s">
        <v>171</v>
      </c>
    </row>
    <row r="53" spans="1:8" ht="15">
      <c r="A53" s="11"/>
      <c r="B53" s="60"/>
      <c r="C53" s="11"/>
      <c r="D53" s="61"/>
      <c r="E53" s="11"/>
      <c r="F53" s="52"/>
      <c r="G53" s="11"/>
      <c r="H53" s="61"/>
    </row>
    <row r="54" spans="1:8" ht="15">
      <c r="A54" s="53"/>
      <c r="B54" s="11"/>
      <c r="C54" s="11"/>
      <c r="D54" s="11"/>
      <c r="E54" s="11"/>
      <c r="F54" s="12"/>
      <c r="G54" s="11"/>
      <c r="H54" s="11"/>
    </row>
    <row r="55" spans="1:8" ht="15">
      <c r="A55" s="11"/>
      <c r="B55" s="11"/>
      <c r="C55" s="11"/>
      <c r="D55" s="11"/>
      <c r="E55" s="11"/>
      <c r="F55" s="12"/>
      <c r="G55" s="11"/>
      <c r="H55" s="11"/>
    </row>
    <row r="56" spans="1:8" ht="15">
      <c r="A56" s="11"/>
      <c r="B56" s="11"/>
      <c r="C56" s="11"/>
      <c r="D56" s="11"/>
      <c r="E56" s="11"/>
      <c r="F56" s="12"/>
      <c r="G56" s="11"/>
      <c r="H56" s="11"/>
    </row>
    <row r="57" spans="1:8" ht="15">
      <c r="A57" s="11"/>
      <c r="B57" s="11"/>
      <c r="C57" s="11"/>
      <c r="D57" s="11"/>
      <c r="E57" s="11"/>
      <c r="F57" s="12"/>
      <c r="G57" s="11"/>
      <c r="H57" s="11"/>
    </row>
    <row r="58" spans="1:8" ht="15">
      <c r="A58" s="11"/>
      <c r="B58" s="11"/>
      <c r="C58" s="11"/>
      <c r="D58" s="11"/>
      <c r="E58" s="11"/>
      <c r="F58" s="12"/>
      <c r="G58" s="11"/>
      <c r="H58" s="11"/>
    </row>
    <row r="59" spans="1:8" ht="15">
      <c r="A59" s="62"/>
      <c r="B59" s="39"/>
      <c r="C59" s="39"/>
      <c r="D59" s="11"/>
      <c r="E59" s="11"/>
      <c r="F59" s="12"/>
      <c r="G59" s="11"/>
      <c r="H59" s="11"/>
    </row>
    <row r="60" spans="1:8" ht="15">
      <c r="A60" s="62"/>
      <c r="B60" s="39"/>
      <c r="C60" s="39"/>
      <c r="D60" s="11"/>
      <c r="E60" s="11"/>
      <c r="F60" s="12"/>
      <c r="G60" s="11"/>
      <c r="H60" s="11"/>
    </row>
    <row r="61" spans="1:8" ht="15">
      <c r="A61" s="11"/>
      <c r="B61" s="11"/>
      <c r="C61" s="11"/>
      <c r="D61" s="11"/>
      <c r="E61" s="11"/>
      <c r="F61" s="12"/>
      <c r="G61" s="11"/>
      <c r="H61" s="11"/>
    </row>
    <row r="62" spans="1:8" ht="15">
      <c r="A62" s="11"/>
      <c r="B62" s="11"/>
      <c r="C62" s="11"/>
      <c r="D62" s="11"/>
      <c r="E62" s="11"/>
      <c r="F62" s="12"/>
      <c r="G62" s="11"/>
      <c r="H62" s="11"/>
    </row>
    <row r="63" spans="1:8" ht="15">
      <c r="A63" s="11"/>
      <c r="B63" s="11"/>
      <c r="C63" s="11"/>
      <c r="D63" s="11"/>
      <c r="E63" s="11"/>
      <c r="F63" s="12"/>
      <c r="G63" s="11"/>
      <c r="H63" s="11"/>
    </row>
    <row r="64" spans="1:8" ht="15">
      <c r="A64" s="11"/>
      <c r="B64" s="11"/>
      <c r="C64" s="11"/>
      <c r="D64" s="11"/>
      <c r="E64" s="11"/>
      <c r="F64" s="12"/>
      <c r="G64" s="11"/>
      <c r="H64" s="11"/>
    </row>
    <row r="65" spans="1:8" ht="15">
      <c r="A65" s="11"/>
      <c r="B65" s="11"/>
      <c r="C65" s="11"/>
      <c r="D65" s="11"/>
      <c r="E65" s="11"/>
      <c r="F65" s="12"/>
      <c r="G65" s="11"/>
      <c r="H65" s="11"/>
    </row>
    <row r="66" spans="1:8" ht="15">
      <c r="A66" s="11"/>
      <c r="B66" s="11"/>
      <c r="C66" s="11"/>
      <c r="D66" s="11"/>
      <c r="E66" s="11"/>
      <c r="F66" s="12"/>
      <c r="G66" s="11"/>
      <c r="H66" s="11"/>
    </row>
    <row r="67" spans="1:8" ht="15">
      <c r="A67" s="11"/>
      <c r="B67" s="11"/>
      <c r="C67" s="11"/>
      <c r="D67" s="11"/>
      <c r="E67" s="11"/>
      <c r="F67" s="12"/>
      <c r="G67" s="11"/>
      <c r="H67" s="11"/>
    </row>
    <row r="68" spans="1:8" ht="15">
      <c r="A68" s="11"/>
      <c r="B68" s="11"/>
      <c r="C68" s="11"/>
      <c r="D68" s="11"/>
      <c r="E68" s="11"/>
      <c r="F68" s="12"/>
      <c r="G68" s="11"/>
      <c r="H68" s="11"/>
    </row>
    <row r="69" spans="1:8" ht="15">
      <c r="A69" s="11"/>
      <c r="B69" s="11"/>
      <c r="C69" s="11"/>
      <c r="D69" s="11"/>
      <c r="E69" s="11"/>
      <c r="F69" s="12"/>
      <c r="G69" s="11"/>
      <c r="H69" s="11"/>
    </row>
    <row r="70" spans="1:8" ht="15">
      <c r="A70" s="11"/>
      <c r="B70" s="11"/>
      <c r="C70" s="11"/>
      <c r="D70" s="11"/>
      <c r="E70" s="11"/>
      <c r="F70" s="12"/>
      <c r="G70" s="11"/>
      <c r="H70" s="11"/>
    </row>
    <row r="71" spans="1:8" ht="15">
      <c r="A71" s="11"/>
      <c r="B71" s="11"/>
      <c r="C71" s="11"/>
      <c r="D71" s="11"/>
      <c r="E71" s="11"/>
      <c r="F71" s="12"/>
      <c r="G71" s="11"/>
      <c r="H71" s="11"/>
    </row>
    <row r="72" spans="1:8" ht="15">
      <c r="A72" s="11"/>
      <c r="B72" s="11"/>
      <c r="C72" s="11"/>
      <c r="D72" s="11"/>
      <c r="E72" s="11"/>
      <c r="F72" s="12"/>
      <c r="G72" s="11"/>
      <c r="H72" s="11"/>
    </row>
    <row r="73" spans="1:8" ht="15">
      <c r="A73" s="11"/>
      <c r="B73" s="11"/>
      <c r="C73" s="11"/>
      <c r="D73" s="11"/>
      <c r="E73" s="11"/>
      <c r="F73" s="12"/>
      <c r="G73" s="11"/>
      <c r="H73" s="11"/>
    </row>
    <row r="74" spans="1:8" ht="15">
      <c r="A74" s="11"/>
      <c r="B74" s="11"/>
      <c r="C74" s="11"/>
      <c r="D74" s="11"/>
      <c r="E74" s="11"/>
      <c r="F74" s="12"/>
      <c r="G74" s="11"/>
      <c r="H74" s="11"/>
    </row>
    <row r="75" spans="1:8" ht="15">
      <c r="A75" s="11"/>
      <c r="B75" s="11"/>
      <c r="C75" s="11"/>
      <c r="D75" s="11"/>
      <c r="E75" s="11"/>
      <c r="F75" s="12"/>
      <c r="G75" s="11"/>
      <c r="H75" s="11"/>
    </row>
    <row r="76" spans="1:8" ht="15">
      <c r="A76" s="11"/>
      <c r="B76" s="11"/>
      <c r="C76" s="11"/>
      <c r="D76" s="11"/>
      <c r="E76" s="11"/>
      <c r="F76" s="12"/>
      <c r="G76" s="11"/>
      <c r="H76" s="11"/>
    </row>
    <row r="77" spans="1:8" ht="15">
      <c r="A77" s="11"/>
      <c r="B77" s="11"/>
      <c r="C77" s="11"/>
      <c r="D77" s="11"/>
      <c r="E77" s="11"/>
      <c r="F77" s="12"/>
      <c r="G77" s="11"/>
      <c r="H77" s="11"/>
    </row>
    <row r="78" spans="1:8" ht="15">
      <c r="A78" s="11"/>
      <c r="B78" s="11"/>
      <c r="C78" s="11"/>
      <c r="D78" s="11"/>
      <c r="E78" s="11"/>
      <c r="F78" s="12"/>
      <c r="G78" s="11"/>
      <c r="H78" s="11"/>
    </row>
    <row r="79" spans="1:8" ht="15">
      <c r="A79" s="11"/>
      <c r="B79" s="11"/>
      <c r="C79" s="11"/>
      <c r="D79" s="11"/>
      <c r="E79" s="11"/>
      <c r="F79" s="12"/>
      <c r="G79" s="11"/>
      <c r="H79" s="11"/>
    </row>
    <row r="80" spans="1:8" ht="15">
      <c r="A80" s="11"/>
      <c r="B80" s="11"/>
      <c r="C80" s="11"/>
      <c r="D80" s="11"/>
      <c r="E80" s="11"/>
      <c r="F80" s="12"/>
      <c r="G80" s="11"/>
      <c r="H80" s="11"/>
    </row>
    <row r="81" spans="1:8" ht="15">
      <c r="A81" s="11"/>
      <c r="B81" s="11"/>
      <c r="C81" s="11"/>
      <c r="D81" s="11"/>
      <c r="E81" s="11"/>
      <c r="F81" s="12"/>
      <c r="G81" s="11"/>
      <c r="H81" s="11"/>
    </row>
    <row r="82" spans="1:8" ht="15">
      <c r="A82" s="11"/>
      <c r="B82" s="11"/>
      <c r="C82" s="11"/>
      <c r="D82" s="11"/>
      <c r="E82" s="11"/>
      <c r="F82" s="12"/>
      <c r="G82" s="11"/>
      <c r="H82" s="11"/>
    </row>
    <row r="83" spans="1:8" ht="15">
      <c r="A83" s="11"/>
      <c r="B83" s="11"/>
      <c r="C83" s="11"/>
      <c r="D83" s="11"/>
      <c r="E83" s="11"/>
      <c r="F83" s="12"/>
      <c r="G83" s="11"/>
      <c r="H83" s="11"/>
    </row>
    <row r="84" spans="1:8" ht="15">
      <c r="A84" s="11"/>
      <c r="B84" s="11"/>
      <c r="C84" s="11"/>
      <c r="D84" s="11"/>
      <c r="E84" s="11"/>
      <c r="F84" s="12"/>
      <c r="G84" s="11"/>
      <c r="H84" s="11"/>
    </row>
    <row r="85" spans="1:8" ht="15">
      <c r="A85" s="11"/>
      <c r="B85" s="11"/>
      <c r="C85" s="11"/>
      <c r="D85" s="11"/>
      <c r="E85" s="11"/>
      <c r="F85" s="12"/>
      <c r="G85" s="11"/>
      <c r="H85" s="11"/>
    </row>
    <row r="86" spans="1:8" ht="15">
      <c r="A86" s="11"/>
      <c r="B86" s="11"/>
      <c r="C86" s="11"/>
      <c r="D86" s="11"/>
      <c r="E86" s="11"/>
      <c r="F86" s="12"/>
      <c r="G86" s="11"/>
      <c r="H86" s="11"/>
    </row>
    <row r="87" spans="1:8" ht="15">
      <c r="A87" s="11"/>
      <c r="B87" s="11"/>
      <c r="C87" s="11"/>
      <c r="D87" s="11"/>
      <c r="E87" s="11"/>
      <c r="F87" s="12"/>
      <c r="G87" s="11"/>
      <c r="H87" s="11"/>
    </row>
    <row r="88" spans="1:8" ht="15">
      <c r="A88" s="11"/>
      <c r="B88" s="11"/>
      <c r="C88" s="11"/>
      <c r="D88" s="11"/>
      <c r="E88" s="11"/>
      <c r="F88" s="12"/>
      <c r="G88" s="11"/>
      <c r="H88" s="11"/>
    </row>
  </sheetData>
  <mergeCells count="2">
    <mergeCell ref="B10:D10"/>
    <mergeCell ref="F10:H10"/>
  </mergeCells>
  <printOptions/>
  <pageMargins left="0.33" right="0.36" top="0.44" bottom="0.46" header="0.25"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workbookViewId="0" topLeftCell="A58">
      <selection activeCell="B60" sqref="B60"/>
    </sheetView>
  </sheetViews>
  <sheetFormatPr defaultColWidth="9.140625" defaultRowHeight="12.75"/>
  <cols>
    <col min="1" max="1" width="2.57421875" style="5" customWidth="1"/>
    <col min="2" max="2" width="50.8515625" style="2" customWidth="1"/>
    <col min="3" max="3" width="16.7109375" style="7" customWidth="1"/>
    <col min="4" max="4" width="7.00390625" style="11" customWidth="1"/>
    <col min="5" max="5" width="16.7109375" style="2" customWidth="1"/>
    <col min="6" max="6" width="3.28125" style="2" customWidth="1"/>
  </cols>
  <sheetData>
    <row r="1" spans="1:5" ht="18.75">
      <c r="A1" s="1" t="s">
        <v>26</v>
      </c>
      <c r="C1" s="63"/>
      <c r="D1" s="14"/>
      <c r="E1" s="64"/>
    </row>
    <row r="2" spans="3:5" ht="15">
      <c r="C2" s="4"/>
      <c r="D2" s="65"/>
      <c r="E2" s="3"/>
    </row>
    <row r="3" ht="15">
      <c r="A3" s="66" t="s">
        <v>27</v>
      </c>
    </row>
    <row r="4" ht="15">
      <c r="A4" s="66" t="s">
        <v>28</v>
      </c>
    </row>
    <row r="5" ht="15">
      <c r="A5" s="67" t="s">
        <v>29</v>
      </c>
    </row>
    <row r="7" spans="1:5" ht="15">
      <c r="A7" s="66" t="s">
        <v>30</v>
      </c>
      <c r="C7" s="63"/>
      <c r="D7" s="14"/>
      <c r="E7" s="64"/>
    </row>
    <row r="8" spans="1:5" ht="15">
      <c r="A8" s="66"/>
      <c r="B8" s="64"/>
      <c r="C8" s="63"/>
      <c r="D8" s="14"/>
      <c r="E8" s="64"/>
    </row>
    <row r="9" spans="2:5" ht="15">
      <c r="B9" s="68"/>
      <c r="C9" s="69" t="s">
        <v>31</v>
      </c>
      <c r="D9" s="19"/>
      <c r="E9" s="68" t="s">
        <v>31</v>
      </c>
    </row>
    <row r="10" spans="2:6" ht="15">
      <c r="B10" s="68"/>
      <c r="C10" s="69" t="s">
        <v>6</v>
      </c>
      <c r="D10" s="19"/>
      <c r="E10" s="68" t="s">
        <v>32</v>
      </c>
      <c r="F10" s="68"/>
    </row>
    <row r="11" spans="2:6" ht="15">
      <c r="B11" s="68"/>
      <c r="C11" s="69" t="s">
        <v>8</v>
      </c>
      <c r="D11" s="19"/>
      <c r="E11" s="68" t="s">
        <v>33</v>
      </c>
      <c r="F11" s="68"/>
    </row>
    <row r="12" spans="2:6" ht="15">
      <c r="B12" s="68"/>
      <c r="D12" s="19"/>
      <c r="E12" s="68" t="s">
        <v>34</v>
      </c>
      <c r="F12" s="68"/>
    </row>
    <row r="13" spans="1:6" ht="15">
      <c r="A13" s="66"/>
      <c r="B13" s="70"/>
      <c r="C13" s="71" t="s">
        <v>35</v>
      </c>
      <c r="D13" s="19"/>
      <c r="E13" s="71" t="s">
        <v>36</v>
      </c>
      <c r="F13" s="70"/>
    </row>
    <row r="14" spans="1:6" ht="15">
      <c r="A14" s="66"/>
      <c r="B14" s="70"/>
      <c r="C14" s="69" t="s">
        <v>11</v>
      </c>
      <c r="D14" s="72"/>
      <c r="E14" s="73" t="s">
        <v>37</v>
      </c>
      <c r="F14" s="70"/>
    </row>
    <row r="15" spans="1:6" ht="14.25">
      <c r="A15" s="66"/>
      <c r="B15" s="70"/>
      <c r="C15" s="74" t="s">
        <v>13</v>
      </c>
      <c r="D15" s="29"/>
      <c r="E15" s="70" t="s">
        <v>13</v>
      </c>
      <c r="F15" s="70"/>
    </row>
    <row r="16" spans="3:5" ht="15">
      <c r="C16" s="75"/>
      <c r="D16" s="19"/>
      <c r="E16" s="76"/>
    </row>
    <row r="17" spans="1:5" ht="15">
      <c r="A17" s="66" t="s">
        <v>38</v>
      </c>
      <c r="C17" s="77">
        <f>('[1]ConsolWPBS'!V6)/1000</f>
        <v>23606.82111</v>
      </c>
      <c r="D17" s="78"/>
      <c r="E17" s="79">
        <f>23190926/1000</f>
        <v>23190.926</v>
      </c>
    </row>
    <row r="18" spans="1:6" ht="14.25">
      <c r="A18" s="66"/>
      <c r="B18" s="80"/>
      <c r="C18" s="81"/>
      <c r="D18" s="82"/>
      <c r="E18" s="83"/>
      <c r="F18" s="80"/>
    </row>
    <row r="19" spans="1:5" ht="15">
      <c r="A19" s="80" t="s">
        <v>39</v>
      </c>
      <c r="C19" s="84"/>
      <c r="D19" s="85"/>
      <c r="E19" s="79"/>
    </row>
    <row r="20" spans="2:5" ht="15">
      <c r="B20" s="5" t="s">
        <v>40</v>
      </c>
      <c r="C20" s="86">
        <f>('[1]ConsolWPBS'!V14)/1000</f>
        <v>82976.17631000002</v>
      </c>
      <c r="D20" s="78"/>
      <c r="E20" s="87">
        <f>(77752513-500)/1000</f>
        <v>77752.013</v>
      </c>
    </row>
    <row r="21" spans="2:5" ht="15">
      <c r="B21" s="5" t="s">
        <v>41</v>
      </c>
      <c r="C21" s="88">
        <f>('[1]ConsolWPBS'!V15)/1000</f>
        <v>1471.12125</v>
      </c>
      <c r="D21" s="78"/>
      <c r="E21" s="89">
        <f>2156802/1000</f>
        <v>2156.802</v>
      </c>
    </row>
    <row r="22" spans="2:5" ht="15">
      <c r="B22" s="5" t="s">
        <v>42</v>
      </c>
      <c r="C22" s="88">
        <f>('[1]ConsolWPBS'!V16+'[1]ConsolWPBS'!V7+'[1]ConsolWPBS'!V17)/1000</f>
        <v>1619.91097</v>
      </c>
      <c r="D22" s="78"/>
      <c r="E22" s="89">
        <f>1637394/1000</f>
        <v>1637.394</v>
      </c>
    </row>
    <row r="23" spans="2:5" ht="15">
      <c r="B23" s="5" t="s">
        <v>43</v>
      </c>
      <c r="C23" s="88">
        <f>('[1]ConsolWPBS'!V19+'[1]ConsolWPBS'!V20)/1000</f>
        <v>2019.62574</v>
      </c>
      <c r="D23" s="78"/>
      <c r="E23" s="89">
        <f>2417787/1000</f>
        <v>2417.787</v>
      </c>
    </row>
    <row r="24" spans="2:5" ht="15">
      <c r="B24" s="90" t="s">
        <v>44</v>
      </c>
      <c r="C24" s="91">
        <v>0</v>
      </c>
      <c r="D24" s="78"/>
      <c r="E24" s="92">
        <f>2800/1000</f>
        <v>2.8</v>
      </c>
    </row>
    <row r="25" spans="2:5" ht="15">
      <c r="B25" s="93"/>
      <c r="C25" s="94"/>
      <c r="D25" s="78"/>
      <c r="E25" s="25"/>
    </row>
    <row r="26" spans="2:5" ht="15">
      <c r="B26" s="95"/>
      <c r="C26" s="96">
        <f>SUM(C20:C24)</f>
        <v>88086.83427000002</v>
      </c>
      <c r="D26" s="97"/>
      <c r="E26" s="96">
        <f>SUM(E20:E24)+0.5</f>
        <v>83967.296</v>
      </c>
    </row>
    <row r="27" spans="3:5" ht="15">
      <c r="C27" s="84"/>
      <c r="D27" s="85"/>
      <c r="E27" s="79"/>
    </row>
    <row r="28" spans="1:5" ht="15">
      <c r="A28" s="80" t="s">
        <v>45</v>
      </c>
      <c r="C28" s="84"/>
      <c r="D28" s="85"/>
      <c r="E28" s="79"/>
    </row>
    <row r="29" spans="2:5" ht="15">
      <c r="B29" s="5" t="s">
        <v>46</v>
      </c>
      <c r="C29" s="98">
        <f>(('[1]ConsolWPBS'!V26)/1000)+0.5</f>
        <v>15526.64449</v>
      </c>
      <c r="D29" s="78"/>
      <c r="E29" s="87">
        <f>(15560285-50)/1000</f>
        <v>15560.235</v>
      </c>
    </row>
    <row r="30" spans="2:5" ht="15">
      <c r="B30" s="5" t="s">
        <v>47</v>
      </c>
      <c r="C30" s="99">
        <f>('[1]ConsolWPBS'!V27+'[1]ConsolWPBS'!V28+'[1]ConsolWPBS'!V34+'[1]ConsolWPBS'!V36+'[1]ConsolWPBS'!V37+'[1]ConsolWPBS'!V39+200000)/1000</f>
        <v>4843.77742</v>
      </c>
      <c r="D30" s="78"/>
      <c r="E30" s="89">
        <f>(6987964+67474)/1000</f>
        <v>7055.438</v>
      </c>
    </row>
    <row r="31" spans="2:5" ht="15">
      <c r="B31" s="5" t="s">
        <v>48</v>
      </c>
      <c r="C31" s="99">
        <f>'[1]ConsolWPBS'!V29/1000</f>
        <v>7454.28991</v>
      </c>
      <c r="D31" s="78"/>
      <c r="E31" s="89">
        <f>6507963/1000</f>
        <v>6507.963</v>
      </c>
    </row>
    <row r="32" spans="2:5" ht="15">
      <c r="B32" s="5" t="s">
        <v>49</v>
      </c>
      <c r="C32" s="99">
        <f>'[1]ConsolWPBS'!V30/1000</f>
        <v>471.59244</v>
      </c>
      <c r="D32" s="78"/>
      <c r="E32" s="89">
        <f>5964401/1000-E55</f>
        <v>426.92199999999957</v>
      </c>
    </row>
    <row r="33" spans="2:5" ht="15">
      <c r="B33" s="5" t="s">
        <v>50</v>
      </c>
      <c r="C33" s="99">
        <f>'[1]ConsolWPBS'!V35/1000</f>
        <v>372.36251999999996</v>
      </c>
      <c r="D33" s="78"/>
      <c r="E33" s="89">
        <f>184867/1000</f>
        <v>184.867</v>
      </c>
    </row>
    <row r="34" spans="2:5" ht="15">
      <c r="B34" s="2" t="s">
        <v>51</v>
      </c>
      <c r="C34" s="99">
        <f>('[1]ConsolWPBS'!V33+'[1]ConsolWPBS'!V32+'[1]ConsolWPBS'!V31)/1000</f>
        <v>302.46585910000096</v>
      </c>
      <c r="D34" s="78"/>
      <c r="E34" s="89">
        <f>1989540/1000</f>
        <v>1989.54</v>
      </c>
    </row>
    <row r="35" spans="2:5" ht="15">
      <c r="B35" s="5" t="s">
        <v>52</v>
      </c>
      <c r="C35" s="100">
        <f>('[1]ConsolWPBS'!V38-'[1]ConsolWPBS'!V18)/1000</f>
        <v>200.02222</v>
      </c>
      <c r="D35" s="78"/>
      <c r="E35" s="92">
        <v>0</v>
      </c>
    </row>
    <row r="36" spans="2:5" ht="15">
      <c r="B36" s="95"/>
      <c r="C36" s="101"/>
      <c r="D36" s="78"/>
      <c r="E36" s="25"/>
    </row>
    <row r="37" spans="2:5" ht="15">
      <c r="B37" s="95"/>
      <c r="C37" s="96">
        <f>SUM(C29:C35)</f>
        <v>29171.1548591</v>
      </c>
      <c r="D37" s="97"/>
      <c r="E37" s="96">
        <f>SUM(E29:E35)</f>
        <v>31724.965</v>
      </c>
    </row>
    <row r="38" spans="3:5" ht="15">
      <c r="C38" s="84"/>
      <c r="D38" s="85"/>
      <c r="E38" s="79"/>
    </row>
    <row r="39" spans="1:5" ht="15">
      <c r="A39" s="80" t="s">
        <v>53</v>
      </c>
      <c r="C39" s="96">
        <f>C26-C37</f>
        <v>58915.67941090002</v>
      </c>
      <c r="D39" s="97"/>
      <c r="E39" s="96">
        <f>E26-E37</f>
        <v>52242.331000000006</v>
      </c>
    </row>
    <row r="40" spans="3:5" ht="15">
      <c r="C40" s="102"/>
      <c r="D40" s="97"/>
      <c r="E40" s="103"/>
    </row>
    <row r="41" spans="3:5" ht="15.75" thickBot="1">
      <c r="C41" s="104">
        <f>C17+C39</f>
        <v>82522.50052090002</v>
      </c>
      <c r="D41" s="97"/>
      <c r="E41" s="104">
        <f>E17+E39</f>
        <v>75433.25700000001</v>
      </c>
    </row>
    <row r="42" spans="3:5" ht="15">
      <c r="C42" s="84"/>
      <c r="D42" s="85"/>
      <c r="E42" s="79"/>
    </row>
    <row r="43" spans="1:5" ht="15">
      <c r="A43" s="2"/>
      <c r="C43" s="84"/>
      <c r="D43" s="85"/>
      <c r="E43" s="79"/>
    </row>
    <row r="44" spans="1:5" ht="15">
      <c r="A44" s="80" t="s">
        <v>54</v>
      </c>
      <c r="C44" s="77">
        <f>('[1]ConsolWPBS'!V48)/1000</f>
        <v>42000</v>
      </c>
      <c r="D44" s="78"/>
      <c r="E44" s="79">
        <f>42000000/1000</f>
        <v>42000</v>
      </c>
    </row>
    <row r="45" spans="1:5" ht="15">
      <c r="A45" s="2"/>
      <c r="C45" s="77"/>
      <c r="D45" s="78"/>
      <c r="E45" s="105"/>
    </row>
    <row r="46" spans="1:5" ht="15">
      <c r="A46" s="66" t="s">
        <v>55</v>
      </c>
      <c r="C46" s="77">
        <f>('[1]ConsolWPBS'!V49)/1000</f>
        <v>2506.56177</v>
      </c>
      <c r="D46" s="78"/>
      <c r="E46" s="79">
        <f>2506562/1000</f>
        <v>2506.562</v>
      </c>
    </row>
    <row r="47" spans="1:5" ht="15">
      <c r="A47" s="66" t="s">
        <v>56</v>
      </c>
      <c r="C47" s="106">
        <f>('[1]ConsolWPBS'!V50)/1000</f>
        <v>29016.722096139998</v>
      </c>
      <c r="D47" s="78"/>
      <c r="E47" s="37">
        <f>22765536/1000</f>
        <v>22765.536</v>
      </c>
    </row>
    <row r="48" spans="2:5" ht="15">
      <c r="B48" s="107"/>
      <c r="C48" s="101"/>
      <c r="D48" s="78"/>
      <c r="E48" s="25"/>
    </row>
    <row r="49" spans="1:5" ht="15">
      <c r="A49" s="80" t="s">
        <v>57</v>
      </c>
      <c r="C49" s="108">
        <f>SUM(C44:C47)+1</f>
        <v>73524.28386614</v>
      </c>
      <c r="D49" s="109"/>
      <c r="E49" s="108">
        <f>SUM(E44:E47)+0.5</f>
        <v>67272.598</v>
      </c>
    </row>
    <row r="50" spans="3:5" ht="15">
      <c r="C50" s="110"/>
      <c r="D50" s="111"/>
      <c r="E50" s="79"/>
    </row>
    <row r="51" spans="1:5" ht="15">
      <c r="A51" s="66" t="s">
        <v>58</v>
      </c>
      <c r="C51" s="77">
        <f>('[1]ConsolWPBS'!V53)/1000</f>
        <v>3243.58246476</v>
      </c>
      <c r="D51" s="78"/>
      <c r="E51" s="79">
        <f>2268085/1000</f>
        <v>2268.085</v>
      </c>
    </row>
    <row r="52" spans="1:5" ht="15">
      <c r="A52" s="112"/>
      <c r="C52" s="77"/>
      <c r="D52" s="78"/>
      <c r="E52" s="79"/>
    </row>
    <row r="53" spans="1:5" ht="15">
      <c r="A53" s="66" t="s">
        <v>59</v>
      </c>
      <c r="C53" s="110"/>
      <c r="D53" s="111"/>
      <c r="E53" s="79"/>
    </row>
    <row r="54" spans="1:5" ht="15">
      <c r="A54" s="10"/>
      <c r="B54" s="5" t="s">
        <v>50</v>
      </c>
      <c r="C54" s="110">
        <f>'[1]ConsolWPBS'!V55/1000-1</f>
        <v>450.21001</v>
      </c>
      <c r="D54" s="111"/>
      <c r="E54" s="79">
        <f>153545/1000-0.5</f>
        <v>153.045</v>
      </c>
    </row>
    <row r="55" spans="1:5" ht="15">
      <c r="A55" s="10"/>
      <c r="B55" s="2" t="s">
        <v>60</v>
      </c>
      <c r="C55" s="110">
        <f>('[1]ConsolWPBS'!V56-200000)/1000</f>
        <v>5102.924180000001</v>
      </c>
      <c r="D55" s="111"/>
      <c r="E55" s="79">
        <f>(5537479)/1000</f>
        <v>5537.479</v>
      </c>
    </row>
    <row r="56" spans="1:5" ht="15">
      <c r="A56" s="10"/>
      <c r="B56" s="2" t="s">
        <v>61</v>
      </c>
      <c r="C56" s="106">
        <f>('[1]ConsolWPBS'!V58)/1000</f>
        <v>202</v>
      </c>
      <c r="D56" s="78"/>
      <c r="E56" s="38">
        <f>(202000/1000)</f>
        <v>202</v>
      </c>
    </row>
    <row r="57" spans="3:5" ht="15">
      <c r="C57" s="43"/>
      <c r="D57" s="85"/>
      <c r="E57" s="25"/>
    </row>
    <row r="58" spans="3:5" ht="15.75" thickBot="1">
      <c r="C58" s="104">
        <f>C49+C51+C54+C56+C55</f>
        <v>82523.0005209</v>
      </c>
      <c r="D58" s="97"/>
      <c r="E58" s="104">
        <f>E49+E51+E54+E56+E55</f>
        <v>75433.20700000001</v>
      </c>
    </row>
    <row r="59" spans="4:5" ht="15">
      <c r="D59" s="85"/>
      <c r="E59" s="79"/>
    </row>
    <row r="60" spans="1:6" ht="15">
      <c r="A60" s="95" t="s">
        <v>62</v>
      </c>
      <c r="C60" s="113">
        <f>((C49)/42000)</f>
        <v>1.7505781872890476</v>
      </c>
      <c r="D60" s="114"/>
      <c r="E60" s="113">
        <f>((E49)/42000)</f>
        <v>1.6017285238095238</v>
      </c>
      <c r="F60" s="115"/>
    </row>
    <row r="61" spans="3:5" ht="15">
      <c r="C61" s="116"/>
      <c r="E61" s="68"/>
    </row>
    <row r="63" ht="15">
      <c r="A63" s="62"/>
    </row>
    <row r="66" spans="3:5" ht="15">
      <c r="C66" s="117"/>
      <c r="D66" s="118"/>
      <c r="E66" s="119"/>
    </row>
  </sheetData>
  <printOptions/>
  <pageMargins left="0.75" right="0.75" top="0.47" bottom="0.27" header="0.25" footer="0.33"/>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N76"/>
  <sheetViews>
    <sheetView workbookViewId="0" topLeftCell="A1">
      <selection activeCell="B1" sqref="B1"/>
    </sheetView>
  </sheetViews>
  <sheetFormatPr defaultColWidth="9.140625" defaultRowHeight="12.75"/>
  <cols>
    <col min="1" max="1" width="1.8515625" style="0" customWidth="1"/>
    <col min="2" max="2" width="62.421875" style="0" customWidth="1"/>
    <col min="3" max="3" width="13.7109375" style="169"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70" customWidth="1"/>
  </cols>
  <sheetData>
    <row r="1" spans="1:14" ht="18.75">
      <c r="A1" s="10"/>
      <c r="B1" s="1" t="s">
        <v>26</v>
      </c>
      <c r="C1" s="10"/>
      <c r="D1" s="10"/>
      <c r="E1" s="10"/>
      <c r="F1" s="10"/>
      <c r="G1" s="10"/>
      <c r="H1" s="10"/>
      <c r="I1" s="144"/>
      <c r="J1" s="10"/>
      <c r="K1" s="10"/>
      <c r="L1" s="10"/>
      <c r="M1" s="10"/>
      <c r="N1" s="10"/>
    </row>
    <row r="2" spans="1:14" ht="15">
      <c r="A2" s="10"/>
      <c r="B2" s="5"/>
      <c r="C2" s="10"/>
      <c r="D2" s="10"/>
      <c r="E2" s="10"/>
      <c r="F2" s="10"/>
      <c r="G2" s="10"/>
      <c r="H2" s="10"/>
      <c r="I2" s="144"/>
      <c r="J2" s="10"/>
      <c r="K2" s="10"/>
      <c r="L2" s="10"/>
      <c r="M2" s="10"/>
      <c r="N2" s="10"/>
    </row>
    <row r="3" spans="1:14" ht="14.25">
      <c r="A3" s="10"/>
      <c r="B3" s="66" t="s">
        <v>27</v>
      </c>
      <c r="C3" s="10"/>
      <c r="D3" s="10"/>
      <c r="E3" s="10"/>
      <c r="F3" s="10"/>
      <c r="G3" s="10"/>
      <c r="H3" s="10"/>
      <c r="I3" s="144"/>
      <c r="J3" s="10"/>
      <c r="K3" s="10"/>
      <c r="L3" s="10"/>
      <c r="M3" s="10"/>
      <c r="N3" s="10"/>
    </row>
    <row r="4" spans="1:14" ht="14.25">
      <c r="A4" s="10"/>
      <c r="B4" s="66" t="s">
        <v>28</v>
      </c>
      <c r="C4" s="10"/>
      <c r="D4" s="10"/>
      <c r="E4" s="10"/>
      <c r="F4" s="10"/>
      <c r="G4" s="10"/>
      <c r="H4" s="10"/>
      <c r="I4" s="144"/>
      <c r="J4" s="10"/>
      <c r="K4" s="10"/>
      <c r="L4" s="10"/>
      <c r="M4" s="10"/>
      <c r="N4" s="10"/>
    </row>
    <row r="5" spans="1:14" ht="15">
      <c r="A5" s="10"/>
      <c r="B5" s="67" t="s">
        <v>2</v>
      </c>
      <c r="C5" s="10"/>
      <c r="D5" s="10"/>
      <c r="E5" s="10"/>
      <c r="F5" s="10"/>
      <c r="G5" s="10"/>
      <c r="H5" s="10"/>
      <c r="I5" s="144"/>
      <c r="J5" s="10"/>
      <c r="K5" s="10"/>
      <c r="L5" s="10"/>
      <c r="M5" s="10"/>
      <c r="N5" s="10"/>
    </row>
    <row r="6" spans="1:14" ht="15">
      <c r="A6" s="10"/>
      <c r="B6" s="5"/>
      <c r="C6" s="10"/>
      <c r="D6" s="10"/>
      <c r="E6" s="10"/>
      <c r="F6" s="10"/>
      <c r="G6" s="10"/>
      <c r="H6" s="10"/>
      <c r="I6" s="144"/>
      <c r="J6" s="10"/>
      <c r="K6" s="10"/>
      <c r="L6" s="10"/>
      <c r="M6" s="10"/>
      <c r="N6" s="10"/>
    </row>
    <row r="7" spans="1:14" ht="14.25">
      <c r="A7" s="10"/>
      <c r="B7" s="66" t="s">
        <v>73</v>
      </c>
      <c r="C7" s="10"/>
      <c r="D7" s="10"/>
      <c r="E7" s="10"/>
      <c r="F7" s="10"/>
      <c r="G7" s="10"/>
      <c r="H7" s="10"/>
      <c r="I7" s="144"/>
      <c r="J7" s="10"/>
      <c r="K7" s="10"/>
      <c r="L7" s="10"/>
      <c r="M7" s="10"/>
      <c r="N7" s="10"/>
    </row>
    <row r="8" spans="1:14" ht="14.25">
      <c r="A8" s="145"/>
      <c r="B8" s="145"/>
      <c r="C8" s="146" t="s">
        <v>13</v>
      </c>
      <c r="D8" s="147" t="s">
        <v>74</v>
      </c>
      <c r="E8" s="146" t="s">
        <v>68</v>
      </c>
      <c r="F8" s="208" t="s">
        <v>75</v>
      </c>
      <c r="G8" s="208"/>
      <c r="H8" s="146" t="s">
        <v>68</v>
      </c>
      <c r="I8" s="148"/>
      <c r="J8" s="149"/>
      <c r="K8" s="149"/>
      <c r="L8" s="149"/>
      <c r="M8" s="149"/>
      <c r="N8" s="150"/>
    </row>
    <row r="9" spans="1:14" ht="14.25">
      <c r="A9" s="145"/>
      <c r="B9" s="151" t="s">
        <v>76</v>
      </c>
      <c r="C9" s="146"/>
      <c r="D9" s="147"/>
      <c r="E9" s="146"/>
      <c r="F9" s="146"/>
      <c r="G9" s="146"/>
      <c r="H9" s="146"/>
      <c r="I9" s="148"/>
      <c r="J9" s="149"/>
      <c r="K9" s="149"/>
      <c r="L9" s="149"/>
      <c r="M9" s="149"/>
      <c r="N9" s="150"/>
    </row>
    <row r="10" spans="1:14" ht="15">
      <c r="A10" s="152"/>
      <c r="B10" s="153" t="s">
        <v>19</v>
      </c>
      <c r="C10" s="154">
        <f>'[1]ConsolCashflow'!S7</f>
        <v>11473.709597000006</v>
      </c>
      <c r="D10" s="153"/>
      <c r="E10" s="153"/>
      <c r="F10" s="153"/>
      <c r="G10" s="153"/>
      <c r="H10" s="153"/>
      <c r="I10" s="155"/>
      <c r="J10" s="153"/>
      <c r="K10" s="153"/>
      <c r="L10" s="153"/>
      <c r="M10" s="153"/>
      <c r="N10" s="152"/>
    </row>
    <row r="11" spans="2:13" ht="15">
      <c r="B11" s="132"/>
      <c r="C11" s="156"/>
      <c r="D11" s="132"/>
      <c r="E11" s="132"/>
      <c r="F11" s="132"/>
      <c r="G11" s="132"/>
      <c r="H11" s="132"/>
      <c r="I11" s="157"/>
      <c r="J11" s="132"/>
      <c r="K11" s="132"/>
      <c r="L11" s="132"/>
      <c r="M11" s="132"/>
    </row>
    <row r="12" spans="2:13" ht="15">
      <c r="B12" s="132" t="s">
        <v>77</v>
      </c>
      <c r="C12" s="156"/>
      <c r="D12" s="132"/>
      <c r="E12" s="132"/>
      <c r="F12" s="132"/>
      <c r="G12" s="132"/>
      <c r="H12" s="132"/>
      <c r="I12" s="157"/>
      <c r="J12" s="132"/>
      <c r="K12" s="132"/>
      <c r="L12" s="132"/>
      <c r="M12" s="132"/>
    </row>
    <row r="13" spans="2:13" ht="15">
      <c r="B13" s="132" t="s">
        <v>78</v>
      </c>
      <c r="C13" s="156">
        <f>'[1]ConsolCashflow'!S10</f>
        <v>972.6179500000001</v>
      </c>
      <c r="D13" s="132"/>
      <c r="E13" s="132"/>
      <c r="F13" s="132"/>
      <c r="G13" s="132"/>
      <c r="H13" s="132"/>
      <c r="I13" s="157"/>
      <c r="J13" s="132"/>
      <c r="K13" s="132"/>
      <c r="L13" s="132"/>
      <c r="M13" s="132"/>
    </row>
    <row r="14" spans="2:13" ht="15">
      <c r="B14" s="132" t="s">
        <v>79</v>
      </c>
      <c r="C14" s="156">
        <f>'[1]ConsolCashflow'!S11</f>
        <v>746.7663799999999</v>
      </c>
      <c r="D14" s="132"/>
      <c r="E14" s="132"/>
      <c r="F14" s="132"/>
      <c r="G14" s="132"/>
      <c r="H14" s="132"/>
      <c r="I14" s="157"/>
      <c r="J14" s="132"/>
      <c r="K14" s="132"/>
      <c r="L14" s="132"/>
      <c r="M14" s="132"/>
    </row>
    <row r="15" spans="2:13" ht="15">
      <c r="B15" s="132" t="s">
        <v>80</v>
      </c>
      <c r="C15" s="156">
        <f>'[1]ConsolCashflow'!S14-0.3</f>
        <v>236.41878999999997</v>
      </c>
      <c r="D15" s="132"/>
      <c r="E15" s="132"/>
      <c r="F15" s="132"/>
      <c r="G15" s="132"/>
      <c r="H15" s="132"/>
      <c r="I15" s="157"/>
      <c r="J15" s="132"/>
      <c r="K15" s="132"/>
      <c r="L15" s="132"/>
      <c r="M15" s="132"/>
    </row>
    <row r="16" spans="2:13" ht="15">
      <c r="B16" s="132" t="s">
        <v>81</v>
      </c>
      <c r="C16" s="158">
        <f>'[1]ConsolCashflow'!S16-0.5</f>
        <v>-116.33342</v>
      </c>
      <c r="D16" s="132"/>
      <c r="E16" s="132"/>
      <c r="F16" s="132"/>
      <c r="G16" s="132"/>
      <c r="H16" s="132"/>
      <c r="I16" s="157"/>
      <c r="J16" s="132"/>
      <c r="K16" s="132"/>
      <c r="L16" s="132"/>
      <c r="M16" s="132"/>
    </row>
    <row r="17" spans="2:13" ht="15">
      <c r="B17" s="132" t="s">
        <v>82</v>
      </c>
      <c r="C17" s="156">
        <f>SUM(C10:C16)+0.6</f>
        <v>13313.779297000005</v>
      </c>
      <c r="D17" s="156">
        <f aca="true" t="shared" si="0" ref="D17:I17">SUM(D10:D16)</f>
        <v>0</v>
      </c>
      <c r="E17" s="156">
        <f t="shared" si="0"/>
        <v>0</v>
      </c>
      <c r="F17" s="156">
        <f t="shared" si="0"/>
        <v>0</v>
      </c>
      <c r="G17" s="156">
        <f t="shared" si="0"/>
        <v>0</v>
      </c>
      <c r="H17" s="156">
        <f t="shared" si="0"/>
        <v>0</v>
      </c>
      <c r="I17" s="159">
        <f t="shared" si="0"/>
        <v>0</v>
      </c>
      <c r="J17" s="132"/>
      <c r="K17" s="132"/>
      <c r="L17" s="132"/>
      <c r="M17" s="132"/>
    </row>
    <row r="18" spans="2:13" ht="15">
      <c r="B18" s="132"/>
      <c r="C18" s="156"/>
      <c r="D18" s="132"/>
      <c r="E18" s="132"/>
      <c r="F18" s="132"/>
      <c r="G18" s="132"/>
      <c r="H18" s="132"/>
      <c r="I18" s="157"/>
      <c r="J18" s="132"/>
      <c r="K18" s="132"/>
      <c r="L18" s="132"/>
      <c r="M18" s="132"/>
    </row>
    <row r="19" spans="2:13" ht="15">
      <c r="B19" s="132" t="s">
        <v>40</v>
      </c>
      <c r="C19" s="156">
        <f>'[1]ConsolCashflow'!S22</f>
        <v>-5223.663310000017</v>
      </c>
      <c r="D19" s="132"/>
      <c r="E19" s="132"/>
      <c r="F19" s="132"/>
      <c r="G19" s="132"/>
      <c r="H19" s="132"/>
      <c r="I19" s="157"/>
      <c r="J19" s="132"/>
      <c r="K19" s="132"/>
      <c r="L19" s="132"/>
      <c r="M19" s="132"/>
    </row>
    <row r="20" spans="2:13" ht="15">
      <c r="B20" s="132" t="s">
        <v>83</v>
      </c>
      <c r="C20" s="156">
        <f>'[1]ConsolCashflow'!S23</f>
        <v>705.9627800000001</v>
      </c>
      <c r="D20" s="132"/>
      <c r="E20" s="132"/>
      <c r="F20" s="132"/>
      <c r="G20" s="132"/>
      <c r="H20" s="132"/>
      <c r="I20" s="157"/>
      <c r="J20" s="132"/>
      <c r="K20" s="132"/>
      <c r="L20" s="132"/>
      <c r="M20" s="132"/>
    </row>
    <row r="21" spans="2:13" ht="15">
      <c r="B21" s="132" t="s">
        <v>84</v>
      </c>
      <c r="C21" s="158">
        <f>'[1]Qtr-BS (2)'!C29+'[1]Qtr-BS (2)'!C30+'[1]Qtr-BS (2)'!C35-'[1]Qtr-BS (2)'!E29-'[1]Qtr-BS (2)'!E30-'[1]Qtr-BS (2)'!E35</f>
        <v>-2045.2288700000008</v>
      </c>
      <c r="D21" s="132"/>
      <c r="E21" s="132"/>
      <c r="F21" s="132"/>
      <c r="G21" s="132"/>
      <c r="H21" s="132"/>
      <c r="I21" s="157"/>
      <c r="J21" s="132"/>
      <c r="K21" s="132"/>
      <c r="L21" s="132"/>
      <c r="M21" s="132"/>
    </row>
    <row r="22" spans="2:13" ht="15">
      <c r="B22" s="132" t="s">
        <v>85</v>
      </c>
      <c r="C22" s="156">
        <f>SUM(C17:C21)</f>
        <v>6750.849896999987</v>
      </c>
      <c r="D22" s="156">
        <f aca="true" t="shared" si="1" ref="D22:I22">SUM(D17:D21)</f>
        <v>0</v>
      </c>
      <c r="E22" s="156">
        <f t="shared" si="1"/>
        <v>0</v>
      </c>
      <c r="F22" s="156">
        <f t="shared" si="1"/>
        <v>0</v>
      </c>
      <c r="G22" s="156">
        <f t="shared" si="1"/>
        <v>0</v>
      </c>
      <c r="H22" s="156">
        <f t="shared" si="1"/>
        <v>0</v>
      </c>
      <c r="I22" s="159">
        <f t="shared" si="1"/>
        <v>0</v>
      </c>
      <c r="J22" s="132"/>
      <c r="K22" s="132"/>
      <c r="L22" s="132"/>
      <c r="M22" s="132"/>
    </row>
    <row r="23" spans="2:13" ht="15">
      <c r="B23" s="132"/>
      <c r="C23" s="156"/>
      <c r="D23" s="132"/>
      <c r="E23" s="132"/>
      <c r="F23" s="132"/>
      <c r="G23" s="132"/>
      <c r="H23" s="132"/>
      <c r="I23" s="157"/>
      <c r="J23" s="132"/>
      <c r="K23" s="132"/>
      <c r="L23" s="132"/>
      <c r="M23" s="132"/>
    </row>
    <row r="24" spans="2:13" ht="15">
      <c r="B24" s="132" t="s">
        <v>86</v>
      </c>
      <c r="C24" s="156">
        <f>-C14</f>
        <v>-746.7663799999999</v>
      </c>
      <c r="D24" s="132"/>
      <c r="E24" s="132"/>
      <c r="F24" s="132"/>
      <c r="G24" s="132"/>
      <c r="H24" s="132"/>
      <c r="I24" s="157"/>
      <c r="J24" s="132"/>
      <c r="K24" s="132"/>
      <c r="L24" s="132"/>
      <c r="M24" s="132"/>
    </row>
    <row r="25" spans="2:13" ht="15">
      <c r="B25" s="132" t="s">
        <v>87</v>
      </c>
      <c r="C25" s="156">
        <f>'[1]ConsolCashflow'!S35+'[1]ConsolCashflow'!S36+0.5</f>
        <v>-4422.307567</v>
      </c>
      <c r="D25" s="132"/>
      <c r="E25" s="132"/>
      <c r="F25" s="132"/>
      <c r="G25" s="132"/>
      <c r="H25" s="132"/>
      <c r="I25" s="157"/>
      <c r="J25" s="160"/>
      <c r="K25" s="132"/>
      <c r="L25" s="132"/>
      <c r="M25" s="132"/>
    </row>
    <row r="26" spans="1:14" ht="15">
      <c r="A26" s="152"/>
      <c r="B26" s="153" t="s">
        <v>71</v>
      </c>
      <c r="C26" s="161">
        <f>'[1]ConsolCashflow'!S37</f>
        <v>-1512</v>
      </c>
      <c r="D26" s="153"/>
      <c r="E26" s="153"/>
      <c r="F26" s="153"/>
      <c r="G26" s="153"/>
      <c r="H26" s="153"/>
      <c r="I26" s="155"/>
      <c r="J26" s="153"/>
      <c r="K26" s="153"/>
      <c r="L26" s="153"/>
      <c r="M26" s="153"/>
      <c r="N26" s="152"/>
    </row>
    <row r="27" spans="2:13" ht="15">
      <c r="B27" s="132" t="s">
        <v>88</v>
      </c>
      <c r="C27" s="158">
        <f aca="true" t="shared" si="2" ref="C27:I27">SUM(C22:C26)</f>
        <v>69.77594999998746</v>
      </c>
      <c r="D27" s="162">
        <f t="shared" si="2"/>
        <v>0</v>
      </c>
      <c r="E27" s="162">
        <f t="shared" si="2"/>
        <v>0</v>
      </c>
      <c r="F27" s="162">
        <f t="shared" si="2"/>
        <v>0</v>
      </c>
      <c r="G27" s="162">
        <f t="shared" si="2"/>
        <v>0</v>
      </c>
      <c r="H27" s="162">
        <f t="shared" si="2"/>
        <v>0</v>
      </c>
      <c r="I27" s="159">
        <f t="shared" si="2"/>
        <v>0</v>
      </c>
      <c r="J27" s="132"/>
      <c r="K27" s="132"/>
      <c r="L27" s="132"/>
      <c r="M27" s="132"/>
    </row>
    <row r="28" spans="2:13" ht="15">
      <c r="B28" s="132"/>
      <c r="C28" s="156"/>
      <c r="D28" s="132"/>
      <c r="E28" s="132"/>
      <c r="F28" s="132"/>
      <c r="G28" s="132"/>
      <c r="H28" s="132"/>
      <c r="I28" s="157"/>
      <c r="J28" s="132"/>
      <c r="K28" s="132"/>
      <c r="L28" s="132"/>
      <c r="M28" s="132"/>
    </row>
    <row r="29" spans="2:13" ht="15">
      <c r="B29" s="151" t="s">
        <v>89</v>
      </c>
      <c r="C29" s="156"/>
      <c r="D29" s="132"/>
      <c r="E29" s="132"/>
      <c r="F29" s="132"/>
      <c r="G29" s="132"/>
      <c r="H29" s="132"/>
      <c r="I29" s="157"/>
      <c r="J29" s="132"/>
      <c r="K29" s="132"/>
      <c r="L29" s="132"/>
      <c r="M29" s="132"/>
    </row>
    <row r="30" spans="2:13" ht="15">
      <c r="B30" s="132" t="s">
        <v>90</v>
      </c>
      <c r="C30" s="156">
        <f>'[1]ConsolCashflow'!S45</f>
        <v>-1657.91773</v>
      </c>
      <c r="D30" s="132"/>
      <c r="E30" s="132"/>
      <c r="F30" s="132"/>
      <c r="G30" s="132"/>
      <c r="H30" s="132"/>
      <c r="I30" s="157"/>
      <c r="J30" s="132"/>
      <c r="K30" s="132"/>
      <c r="L30" s="132"/>
      <c r="M30" s="132"/>
    </row>
    <row r="31" spans="2:13" ht="15">
      <c r="B31" s="132" t="s">
        <v>91</v>
      </c>
      <c r="C31" s="158">
        <f>'[1]ConsolCashflow'!S46</f>
        <v>148.51867</v>
      </c>
      <c r="D31" s="132"/>
      <c r="E31" s="132"/>
      <c r="F31" s="132"/>
      <c r="G31" s="132"/>
      <c r="H31" s="132"/>
      <c r="I31" s="157"/>
      <c r="J31" s="132"/>
      <c r="K31" s="132"/>
      <c r="L31" s="132"/>
      <c r="M31" s="132"/>
    </row>
    <row r="32" spans="2:13" ht="15">
      <c r="B32" s="132"/>
      <c r="C32" s="158">
        <f aca="true" t="shared" si="3" ref="C32:I32">SUM(C30:C31)</f>
        <v>-1509.39906</v>
      </c>
      <c r="D32" s="162">
        <f t="shared" si="3"/>
        <v>0</v>
      </c>
      <c r="E32" s="162">
        <f t="shared" si="3"/>
        <v>0</v>
      </c>
      <c r="F32" s="162">
        <f t="shared" si="3"/>
        <v>0</v>
      </c>
      <c r="G32" s="162">
        <f t="shared" si="3"/>
        <v>0</v>
      </c>
      <c r="H32" s="162">
        <f t="shared" si="3"/>
        <v>0</v>
      </c>
      <c r="I32" s="159">
        <f t="shared" si="3"/>
        <v>0</v>
      </c>
      <c r="J32" s="132"/>
      <c r="K32" s="132"/>
      <c r="L32" s="132"/>
      <c r="M32" s="132"/>
    </row>
    <row r="33" spans="2:13" ht="15">
      <c r="B33" s="151" t="s">
        <v>92</v>
      </c>
      <c r="C33" s="156"/>
      <c r="D33" s="132"/>
      <c r="E33" s="132"/>
      <c r="F33" s="132"/>
      <c r="G33" s="132"/>
      <c r="H33" s="132"/>
      <c r="I33" s="157"/>
      <c r="J33" s="132"/>
      <c r="K33" s="132"/>
      <c r="L33" s="132"/>
      <c r="M33" s="132"/>
    </row>
    <row r="34" spans="2:13" ht="15">
      <c r="B34" s="132" t="s">
        <v>93</v>
      </c>
      <c r="C34" s="156">
        <f>'[1]ConsolCashflow'!S53</f>
        <v>-194.84035999999998</v>
      </c>
      <c r="D34" s="132"/>
      <c r="E34" s="132"/>
      <c r="F34" s="132"/>
      <c r="G34" s="132"/>
      <c r="H34" s="132"/>
      <c r="I34" s="157"/>
      <c r="J34" s="132"/>
      <c r="K34" s="132"/>
      <c r="L34" s="132"/>
      <c r="M34" s="132"/>
    </row>
    <row r="35" spans="2:13" ht="15">
      <c r="B35" s="132" t="s">
        <v>94</v>
      </c>
      <c r="C35" s="156">
        <f>'[1]ConsolCashflow'!S54</f>
        <v>-389.8854</v>
      </c>
      <c r="D35" s="132"/>
      <c r="E35" s="132"/>
      <c r="F35" s="132"/>
      <c r="G35" s="132"/>
      <c r="H35" s="132"/>
      <c r="I35" s="157"/>
      <c r="J35" s="132"/>
      <c r="K35" s="132"/>
      <c r="L35" s="132"/>
      <c r="M35" s="132"/>
    </row>
    <row r="36" spans="2:13" ht="15">
      <c r="B36" s="132" t="s">
        <v>95</v>
      </c>
      <c r="C36" s="158">
        <f>'[1]ConsolCashflow'!S52</f>
        <v>680</v>
      </c>
      <c r="D36" s="132"/>
      <c r="E36" s="132"/>
      <c r="F36" s="132"/>
      <c r="G36" s="132"/>
      <c r="H36" s="132"/>
      <c r="I36" s="157"/>
      <c r="J36" s="132"/>
      <c r="K36" s="132"/>
      <c r="L36" s="132"/>
      <c r="M36" s="132"/>
    </row>
    <row r="37" spans="2:13" ht="15">
      <c r="B37" s="132"/>
      <c r="C37" s="158">
        <f aca="true" t="shared" si="4" ref="C37:I37">SUM(C34:C36)</f>
        <v>95.27423999999996</v>
      </c>
      <c r="D37" s="162">
        <f t="shared" si="4"/>
        <v>0</v>
      </c>
      <c r="E37" s="162">
        <f t="shared" si="4"/>
        <v>0</v>
      </c>
      <c r="F37" s="162">
        <f t="shared" si="4"/>
        <v>0</v>
      </c>
      <c r="G37" s="162">
        <f t="shared" si="4"/>
        <v>0</v>
      </c>
      <c r="H37" s="162">
        <f t="shared" si="4"/>
        <v>0</v>
      </c>
      <c r="I37" s="159">
        <f t="shared" si="4"/>
        <v>0</v>
      </c>
      <c r="J37" s="132"/>
      <c r="K37" s="132"/>
      <c r="L37" s="132"/>
      <c r="M37" s="132"/>
    </row>
    <row r="38" spans="2:13" ht="15">
      <c r="B38" s="132"/>
      <c r="C38" s="156"/>
      <c r="D38" s="132"/>
      <c r="E38" s="132"/>
      <c r="F38" s="132"/>
      <c r="G38" s="132"/>
      <c r="H38" s="132"/>
      <c r="I38" s="157"/>
      <c r="J38" s="132"/>
      <c r="K38" s="132"/>
      <c r="L38" s="132"/>
      <c r="M38" s="132"/>
    </row>
    <row r="39" spans="2:13" ht="15">
      <c r="B39" s="151" t="s">
        <v>96</v>
      </c>
      <c r="C39" s="156">
        <f>C27+C32+C37+0.5</f>
        <v>-1343.8488700000125</v>
      </c>
      <c r="D39" s="156">
        <f aca="true" t="shared" si="5" ref="D39:I39">D27+D32+D37</f>
        <v>0</v>
      </c>
      <c r="E39" s="156">
        <f t="shared" si="5"/>
        <v>0</v>
      </c>
      <c r="F39" s="156">
        <f t="shared" si="5"/>
        <v>0</v>
      </c>
      <c r="G39" s="156">
        <f t="shared" si="5"/>
        <v>0</v>
      </c>
      <c r="H39" s="156">
        <f t="shared" si="5"/>
        <v>0</v>
      </c>
      <c r="I39" s="159">
        <f t="shared" si="5"/>
        <v>0</v>
      </c>
      <c r="J39" s="132"/>
      <c r="K39" s="132"/>
      <c r="L39" s="132"/>
      <c r="M39" s="132"/>
    </row>
    <row r="40" spans="2:13" ht="15">
      <c r="B40" s="151" t="s">
        <v>97</v>
      </c>
      <c r="C40" s="158">
        <f>'[1]ConsolCashflow'!S60</f>
        <v>-4090.176</v>
      </c>
      <c r="D40" s="156" t="e">
        <f>#REF!</f>
        <v>#REF!</v>
      </c>
      <c r="E40" s="156" t="e">
        <f>#REF!</f>
        <v>#REF!</v>
      </c>
      <c r="F40" s="156" t="e">
        <f>#REF!</f>
        <v>#REF!</v>
      </c>
      <c r="G40" s="156" t="e">
        <f>#REF!</f>
        <v>#REF!</v>
      </c>
      <c r="H40" s="156" t="e">
        <f>#REF!</f>
        <v>#REF!</v>
      </c>
      <c r="I40" s="159" t="e">
        <f>#REF!</f>
        <v>#REF!</v>
      </c>
      <c r="J40" s="132"/>
      <c r="K40" s="132"/>
      <c r="L40" s="132"/>
      <c r="M40" s="132"/>
    </row>
    <row r="41" spans="2:13" ht="15.75" thickBot="1">
      <c r="B41" s="151" t="s">
        <v>98</v>
      </c>
      <c r="C41" s="163">
        <f aca="true" t="shared" si="6" ref="C41:I41">SUM(C39:C40)</f>
        <v>-5434.024870000012</v>
      </c>
      <c r="D41" s="164" t="e">
        <f t="shared" si="6"/>
        <v>#REF!</v>
      </c>
      <c r="E41" s="164" t="e">
        <f t="shared" si="6"/>
        <v>#REF!</v>
      </c>
      <c r="F41" s="164" t="e">
        <f t="shared" si="6"/>
        <v>#REF!</v>
      </c>
      <c r="G41" s="164" t="e">
        <f t="shared" si="6"/>
        <v>#REF!</v>
      </c>
      <c r="H41" s="164" t="e">
        <f t="shared" si="6"/>
        <v>#REF!</v>
      </c>
      <c r="I41" s="165" t="e">
        <f t="shared" si="6"/>
        <v>#REF!</v>
      </c>
      <c r="J41" s="132"/>
      <c r="K41" s="132"/>
      <c r="L41" s="132"/>
      <c r="M41" s="132"/>
    </row>
    <row r="42" spans="2:13" ht="15">
      <c r="B42" s="132"/>
      <c r="C42" s="156"/>
      <c r="D42" s="132"/>
      <c r="E42" s="132"/>
      <c r="F42" s="132"/>
      <c r="G42" s="132"/>
      <c r="H42" s="132"/>
      <c r="I42" s="157"/>
      <c r="J42" s="132"/>
      <c r="K42" s="132"/>
      <c r="L42" s="132"/>
      <c r="M42" s="132"/>
    </row>
    <row r="43" spans="2:13" ht="15">
      <c r="B43" s="151" t="s">
        <v>99</v>
      </c>
      <c r="C43" s="156"/>
      <c r="D43" s="132"/>
      <c r="E43" s="132"/>
      <c r="F43" s="132"/>
      <c r="G43" s="132"/>
      <c r="H43" s="132"/>
      <c r="I43" s="157"/>
      <c r="J43" s="132"/>
      <c r="K43" s="132"/>
      <c r="L43" s="132"/>
      <c r="M43" s="132"/>
    </row>
    <row r="44" spans="2:13" ht="15">
      <c r="B44" s="132" t="s">
        <v>100</v>
      </c>
      <c r="C44" s="156">
        <f>'[1]Qtr-BS (2)'!C23</f>
        <v>2019.62574</v>
      </c>
      <c r="D44" s="132"/>
      <c r="E44" s="132"/>
      <c r="F44" s="132"/>
      <c r="G44" s="132"/>
      <c r="H44" s="132"/>
      <c r="I44" s="157"/>
      <c r="J44" s="132"/>
      <c r="K44" s="132"/>
      <c r="L44" s="132"/>
      <c r="M44" s="132"/>
    </row>
    <row r="45" spans="2:13" ht="15">
      <c r="B45" s="132" t="s">
        <v>101</v>
      </c>
      <c r="C45" s="156">
        <f>-'[1]Qtr-BS (2)'!C31+0.3</f>
        <v>-7453.98991</v>
      </c>
      <c r="D45" s="132"/>
      <c r="E45" s="132"/>
      <c r="F45" s="132"/>
      <c r="G45" s="132"/>
      <c r="H45" s="132"/>
      <c r="I45" s="157"/>
      <c r="J45" s="132"/>
      <c r="K45" s="132"/>
      <c r="L45" s="132"/>
      <c r="M45" s="132"/>
    </row>
    <row r="46" spans="2:13" ht="15.75" thickBot="1">
      <c r="B46" s="132"/>
      <c r="C46" s="166">
        <f aca="true" t="shared" si="7" ref="C46:I46">SUM(C44:C45)</f>
        <v>-5434.364170000001</v>
      </c>
      <c r="D46" s="164">
        <f t="shared" si="7"/>
        <v>0</v>
      </c>
      <c r="E46" s="164">
        <f t="shared" si="7"/>
        <v>0</v>
      </c>
      <c r="F46" s="164">
        <f t="shared" si="7"/>
        <v>0</v>
      </c>
      <c r="G46" s="164">
        <f t="shared" si="7"/>
        <v>0</v>
      </c>
      <c r="H46" s="164">
        <f t="shared" si="7"/>
        <v>0</v>
      </c>
      <c r="I46" s="165">
        <f t="shared" si="7"/>
        <v>0</v>
      </c>
      <c r="J46" s="132"/>
      <c r="K46" s="132"/>
      <c r="L46" s="132"/>
      <c r="M46" s="132"/>
    </row>
    <row r="47" spans="2:13" ht="15">
      <c r="B47" s="132"/>
      <c r="C47" s="165"/>
      <c r="D47" s="165"/>
      <c r="E47" s="165"/>
      <c r="F47" s="165"/>
      <c r="G47" s="165"/>
      <c r="H47" s="165"/>
      <c r="I47" s="165"/>
      <c r="J47" s="132"/>
      <c r="K47" s="132"/>
      <c r="L47" s="132"/>
      <c r="M47" s="132"/>
    </row>
    <row r="48" spans="2:13" ht="15">
      <c r="B48" s="132"/>
      <c r="C48" s="156"/>
      <c r="D48" s="132"/>
      <c r="E48" s="132"/>
      <c r="F48" s="132"/>
      <c r="G48" s="132"/>
      <c r="H48" s="132"/>
      <c r="I48" s="157"/>
      <c r="J48" s="132"/>
      <c r="K48" s="132"/>
      <c r="L48" s="132"/>
      <c r="M48" s="132"/>
    </row>
    <row r="49" spans="2:13" ht="15">
      <c r="B49" s="132"/>
      <c r="C49" s="156"/>
      <c r="D49" s="156" t="e">
        <f aca="true" t="shared" si="8" ref="D49:I49">D41-D46</f>
        <v>#REF!</v>
      </c>
      <c r="E49" s="156" t="e">
        <f t="shared" si="8"/>
        <v>#REF!</v>
      </c>
      <c r="F49" s="156" t="e">
        <f t="shared" si="8"/>
        <v>#REF!</v>
      </c>
      <c r="G49" s="156" t="e">
        <f t="shared" si="8"/>
        <v>#REF!</v>
      </c>
      <c r="H49" s="156" t="e">
        <f t="shared" si="8"/>
        <v>#REF!</v>
      </c>
      <c r="I49" s="159" t="e">
        <f t="shared" si="8"/>
        <v>#REF!</v>
      </c>
      <c r="J49" s="132"/>
      <c r="K49" s="132"/>
      <c r="L49" s="132"/>
      <c r="M49" s="132"/>
    </row>
    <row r="50" spans="2:13" ht="15">
      <c r="B50" s="132"/>
      <c r="C50" s="167"/>
      <c r="D50" s="132"/>
      <c r="E50" s="132"/>
      <c r="F50" s="132"/>
      <c r="G50" s="132"/>
      <c r="H50" s="132"/>
      <c r="I50" s="157"/>
      <c r="J50" s="132"/>
      <c r="K50" s="132"/>
      <c r="L50" s="132"/>
      <c r="M50" s="132"/>
    </row>
    <row r="51" spans="2:13" ht="15">
      <c r="B51" s="132"/>
      <c r="C51" s="167"/>
      <c r="D51" s="132"/>
      <c r="E51" s="132"/>
      <c r="F51" s="132"/>
      <c r="G51" s="132"/>
      <c r="H51" s="132"/>
      <c r="I51" s="157"/>
      <c r="J51" s="132"/>
      <c r="K51" s="132"/>
      <c r="L51" s="132"/>
      <c r="M51" s="132"/>
    </row>
    <row r="52" spans="2:13" ht="15">
      <c r="B52" s="132"/>
      <c r="C52" s="167"/>
      <c r="D52" s="132"/>
      <c r="E52" s="132"/>
      <c r="F52" s="132"/>
      <c r="G52" s="132"/>
      <c r="H52" s="132"/>
      <c r="I52" s="157"/>
      <c r="J52" s="132"/>
      <c r="K52" s="132"/>
      <c r="L52" s="132"/>
      <c r="M52" s="132"/>
    </row>
    <row r="53" spans="2:13" ht="15">
      <c r="B53" s="132"/>
      <c r="C53" s="167"/>
      <c r="D53" s="132"/>
      <c r="E53" s="132"/>
      <c r="F53" s="132"/>
      <c r="G53" s="132"/>
      <c r="H53" s="132"/>
      <c r="I53" s="157"/>
      <c r="J53" s="132"/>
      <c r="K53" s="132"/>
      <c r="L53" s="132"/>
      <c r="M53" s="132"/>
    </row>
    <row r="54" spans="2:13" ht="15">
      <c r="B54" s="132"/>
      <c r="C54" s="167"/>
      <c r="D54" s="132"/>
      <c r="E54" s="132"/>
      <c r="F54" s="132"/>
      <c r="G54" s="132"/>
      <c r="H54" s="132"/>
      <c r="I54" s="157"/>
      <c r="J54" s="132"/>
      <c r="K54" s="132"/>
      <c r="L54" s="132"/>
      <c r="M54" s="132"/>
    </row>
    <row r="55" spans="2:13" ht="15">
      <c r="B55" s="168"/>
      <c r="C55" s="167"/>
      <c r="D55" s="132"/>
      <c r="E55" s="132"/>
      <c r="F55" s="132"/>
      <c r="G55" s="132"/>
      <c r="H55" s="132"/>
      <c r="I55" s="157"/>
      <c r="J55" s="132"/>
      <c r="K55" s="132"/>
      <c r="L55" s="132"/>
      <c r="M55" s="132"/>
    </row>
    <row r="56" spans="2:13" ht="15">
      <c r="B56" s="168"/>
      <c r="C56" s="167"/>
      <c r="D56" s="132"/>
      <c r="E56" s="132"/>
      <c r="F56" s="132"/>
      <c r="G56" s="132"/>
      <c r="H56" s="132"/>
      <c r="I56" s="157"/>
      <c r="J56" s="132"/>
      <c r="K56" s="132"/>
      <c r="L56" s="132"/>
      <c r="M56" s="132"/>
    </row>
    <row r="57" spans="2:13" ht="15">
      <c r="B57" s="132"/>
      <c r="C57" s="167"/>
      <c r="D57" s="132"/>
      <c r="E57" s="132"/>
      <c r="F57" s="132"/>
      <c r="G57" s="132"/>
      <c r="H57" s="132"/>
      <c r="I57" s="157"/>
      <c r="J57" s="132"/>
      <c r="K57" s="132"/>
      <c r="L57" s="132"/>
      <c r="M57" s="132"/>
    </row>
    <row r="58" spans="2:13" ht="15">
      <c r="B58" s="132"/>
      <c r="C58" s="167"/>
      <c r="D58" s="132"/>
      <c r="E58" s="132"/>
      <c r="F58" s="132"/>
      <c r="G58" s="132"/>
      <c r="H58" s="132"/>
      <c r="I58" s="157"/>
      <c r="J58" s="132"/>
      <c r="K58" s="132"/>
      <c r="L58" s="132"/>
      <c r="M58" s="132"/>
    </row>
    <row r="59" spans="2:13" ht="15">
      <c r="B59" s="132"/>
      <c r="C59" s="167"/>
      <c r="D59" s="132"/>
      <c r="E59" s="132"/>
      <c r="F59" s="132"/>
      <c r="G59" s="132"/>
      <c r="H59" s="132"/>
      <c r="I59" s="157"/>
      <c r="J59" s="132"/>
      <c r="K59" s="132"/>
      <c r="L59" s="132"/>
      <c r="M59" s="132"/>
    </row>
    <row r="60" spans="2:13" ht="15">
      <c r="B60" s="132"/>
      <c r="C60" s="167"/>
      <c r="D60" s="132"/>
      <c r="E60" s="132"/>
      <c r="F60" s="132"/>
      <c r="G60" s="132"/>
      <c r="H60" s="132"/>
      <c r="I60" s="157"/>
      <c r="J60" s="132"/>
      <c r="K60" s="132"/>
      <c r="L60" s="132"/>
      <c r="M60" s="132"/>
    </row>
    <row r="61" spans="2:13" ht="15">
      <c r="B61" s="132"/>
      <c r="C61" s="167"/>
      <c r="D61" s="132"/>
      <c r="E61" s="132"/>
      <c r="F61" s="132"/>
      <c r="G61" s="132"/>
      <c r="H61" s="132"/>
      <c r="I61" s="157"/>
      <c r="J61" s="132"/>
      <c r="K61" s="132"/>
      <c r="L61" s="132"/>
      <c r="M61" s="132"/>
    </row>
    <row r="62" spans="2:13" ht="15">
      <c r="B62" s="132"/>
      <c r="C62" s="167"/>
      <c r="D62" s="132"/>
      <c r="E62" s="132"/>
      <c r="F62" s="132"/>
      <c r="G62" s="132"/>
      <c r="H62" s="132"/>
      <c r="I62" s="157"/>
      <c r="J62" s="132"/>
      <c r="K62" s="132"/>
      <c r="L62" s="132"/>
      <c r="M62" s="132"/>
    </row>
    <row r="63" spans="2:13" ht="15">
      <c r="B63" s="132"/>
      <c r="C63" s="167"/>
      <c r="D63" s="132"/>
      <c r="E63" s="132"/>
      <c r="F63" s="132"/>
      <c r="G63" s="132"/>
      <c r="H63" s="132"/>
      <c r="I63" s="157"/>
      <c r="J63" s="132"/>
      <c r="K63" s="132"/>
      <c r="L63" s="132"/>
      <c r="M63" s="132"/>
    </row>
    <row r="64" spans="2:13" ht="15">
      <c r="B64" s="132"/>
      <c r="C64" s="167"/>
      <c r="D64" s="132"/>
      <c r="E64" s="132"/>
      <c r="F64" s="132"/>
      <c r="G64" s="132"/>
      <c r="H64" s="132"/>
      <c r="I64" s="157"/>
      <c r="J64" s="132"/>
      <c r="K64" s="132"/>
      <c r="L64" s="132"/>
      <c r="M64" s="132"/>
    </row>
    <row r="65" spans="2:13" ht="15">
      <c r="B65" s="132"/>
      <c r="C65" s="167"/>
      <c r="D65" s="132"/>
      <c r="E65" s="132"/>
      <c r="F65" s="132"/>
      <c r="G65" s="132"/>
      <c r="H65" s="132"/>
      <c r="I65" s="157"/>
      <c r="J65" s="132"/>
      <c r="K65" s="132"/>
      <c r="L65" s="132"/>
      <c r="M65" s="132"/>
    </row>
    <row r="66" spans="2:13" ht="15">
      <c r="B66" s="132"/>
      <c r="C66" s="167"/>
      <c r="D66" s="132"/>
      <c r="E66" s="132"/>
      <c r="F66" s="132"/>
      <c r="G66" s="132"/>
      <c r="H66" s="132"/>
      <c r="I66" s="157"/>
      <c r="J66" s="132"/>
      <c r="K66" s="132"/>
      <c r="L66" s="132"/>
      <c r="M66" s="132"/>
    </row>
    <row r="67" spans="2:13" ht="15">
      <c r="B67" s="132"/>
      <c r="C67" s="167"/>
      <c r="D67" s="132"/>
      <c r="E67" s="132"/>
      <c r="F67" s="132"/>
      <c r="G67" s="132"/>
      <c r="H67" s="132"/>
      <c r="I67" s="157"/>
      <c r="J67" s="132"/>
      <c r="K67" s="132"/>
      <c r="L67" s="132"/>
      <c r="M67" s="132"/>
    </row>
    <row r="68" spans="2:13" ht="15">
      <c r="B68" s="132"/>
      <c r="C68" s="167"/>
      <c r="D68" s="132"/>
      <c r="E68" s="132"/>
      <c r="F68" s="132"/>
      <c r="G68" s="132"/>
      <c r="H68" s="132"/>
      <c r="I68" s="157"/>
      <c r="J68" s="132"/>
      <c r="K68" s="132"/>
      <c r="L68" s="132"/>
      <c r="M68" s="132"/>
    </row>
    <row r="69" spans="2:13" ht="15">
      <c r="B69" s="132"/>
      <c r="C69" s="167"/>
      <c r="D69" s="132"/>
      <c r="E69" s="132"/>
      <c r="F69" s="132"/>
      <c r="G69" s="132"/>
      <c r="H69" s="132"/>
      <c r="I69" s="157"/>
      <c r="J69" s="132"/>
      <c r="K69" s="132"/>
      <c r="L69" s="132"/>
      <c r="M69" s="132"/>
    </row>
    <row r="70" spans="2:13" ht="15">
      <c r="B70" s="132"/>
      <c r="C70" s="167"/>
      <c r="D70" s="132"/>
      <c r="E70" s="132"/>
      <c r="F70" s="132"/>
      <c r="G70" s="132"/>
      <c r="H70" s="132"/>
      <c r="I70" s="157"/>
      <c r="J70" s="132"/>
      <c r="K70" s="132"/>
      <c r="L70" s="132"/>
      <c r="M70" s="132"/>
    </row>
    <row r="71" spans="2:13" ht="15">
      <c r="B71" s="132"/>
      <c r="C71" s="167"/>
      <c r="D71" s="132"/>
      <c r="E71" s="132"/>
      <c r="F71" s="132"/>
      <c r="G71" s="132"/>
      <c r="H71" s="132"/>
      <c r="I71" s="157"/>
      <c r="J71" s="132"/>
      <c r="K71" s="132"/>
      <c r="L71" s="132"/>
      <c r="M71" s="132"/>
    </row>
    <row r="72" spans="2:13" ht="15">
      <c r="B72" s="132"/>
      <c r="C72" s="167"/>
      <c r="D72" s="132"/>
      <c r="E72" s="132"/>
      <c r="F72" s="132"/>
      <c r="G72" s="132"/>
      <c r="H72" s="132"/>
      <c r="I72" s="157"/>
      <c r="J72" s="132"/>
      <c r="K72" s="132"/>
      <c r="L72" s="132"/>
      <c r="M72" s="132"/>
    </row>
    <row r="73" spans="2:13" ht="15">
      <c r="B73" s="132"/>
      <c r="C73" s="167"/>
      <c r="D73" s="132"/>
      <c r="E73" s="132"/>
      <c r="F73" s="132"/>
      <c r="G73" s="132"/>
      <c r="H73" s="132"/>
      <c r="I73" s="157"/>
      <c r="J73" s="132"/>
      <c r="K73" s="132"/>
      <c r="L73" s="132"/>
      <c r="M73" s="132"/>
    </row>
    <row r="74" spans="2:13" ht="15">
      <c r="B74" s="132"/>
      <c r="C74" s="167"/>
      <c r="D74" s="132"/>
      <c r="E74" s="132"/>
      <c r="F74" s="132"/>
      <c r="G74" s="132"/>
      <c r="H74" s="132"/>
      <c r="I74" s="157"/>
      <c r="J74" s="132"/>
      <c r="K74" s="132"/>
      <c r="L74" s="132"/>
      <c r="M74" s="132"/>
    </row>
    <row r="75" spans="2:13" ht="15">
      <c r="B75" s="132"/>
      <c r="C75" s="167"/>
      <c r="D75" s="132"/>
      <c r="E75" s="132"/>
      <c r="F75" s="132"/>
      <c r="G75" s="132"/>
      <c r="H75" s="132"/>
      <c r="I75" s="157"/>
      <c r="J75" s="132"/>
      <c r="K75" s="132"/>
      <c r="L75" s="132"/>
      <c r="M75" s="132"/>
    </row>
    <row r="76" spans="2:13" ht="15">
      <c r="B76" s="132"/>
      <c r="C76" s="167"/>
      <c r="D76" s="132"/>
      <c r="E76" s="132"/>
      <c r="F76" s="132"/>
      <c r="G76" s="132"/>
      <c r="H76" s="132"/>
      <c r="I76" s="157"/>
      <c r="J76" s="132"/>
      <c r="K76" s="132"/>
      <c r="L76" s="132"/>
      <c r="M76" s="132"/>
    </row>
  </sheetData>
  <mergeCells count="1">
    <mergeCell ref="F8:G8"/>
  </mergeCells>
  <printOptions/>
  <pageMargins left="0.75" right="0.75" top="0.38" bottom="0.46" header="0.25" footer="0.3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B9" sqref="B9"/>
    </sheetView>
  </sheetViews>
  <sheetFormatPr defaultColWidth="9.140625" defaultRowHeight="12.75"/>
  <cols>
    <col min="1" max="1" width="1.57421875" style="0" customWidth="1"/>
    <col min="2" max="2" width="38.140625" style="142" customWidth="1"/>
    <col min="3" max="3" width="13.57421875" style="143" customWidth="1"/>
    <col min="4" max="4" width="3.7109375" style="143" customWidth="1"/>
    <col min="5" max="5" width="13.57421875" style="143" bestFit="1" customWidth="1"/>
    <col min="6" max="6" width="3.7109375" style="143" customWidth="1"/>
    <col min="7" max="7" width="11.8515625" style="143" bestFit="1" customWidth="1"/>
    <col min="8" max="8" width="3.7109375" style="143" customWidth="1"/>
    <col min="9" max="9" width="14.7109375" style="143" customWidth="1"/>
    <col min="10" max="10" width="14.57421875" style="141" bestFit="1" customWidth="1"/>
  </cols>
  <sheetData>
    <row r="1" spans="1:10" ht="18.75">
      <c r="A1" s="10"/>
      <c r="B1" s="1" t="s">
        <v>26</v>
      </c>
      <c r="C1" s="120"/>
      <c r="D1" s="121"/>
      <c r="E1" s="122"/>
      <c r="F1" s="122"/>
      <c r="G1" s="121"/>
      <c r="H1" s="121"/>
      <c r="I1" s="123"/>
      <c r="J1" s="121"/>
    </row>
    <row r="2" spans="1:10" ht="18.75">
      <c r="A2" s="10"/>
      <c r="B2" s="1"/>
      <c r="C2" s="120"/>
      <c r="D2" s="121"/>
      <c r="E2" s="122"/>
      <c r="F2" s="122"/>
      <c r="G2" s="121"/>
      <c r="H2" s="121"/>
      <c r="I2" s="123"/>
      <c r="J2" s="121"/>
    </row>
    <row r="3" spans="1:10" ht="15">
      <c r="A3" s="10"/>
      <c r="B3" s="66" t="s">
        <v>27</v>
      </c>
      <c r="C3" s="120"/>
      <c r="D3" s="121"/>
      <c r="E3" s="122"/>
      <c r="F3" s="122"/>
      <c r="G3" s="121"/>
      <c r="H3" s="121"/>
      <c r="I3" s="123"/>
      <c r="J3" s="121"/>
    </row>
    <row r="4" spans="1:10" ht="15">
      <c r="A4" s="10"/>
      <c r="B4" s="66" t="s">
        <v>28</v>
      </c>
      <c r="C4" s="120"/>
      <c r="D4" s="122"/>
      <c r="E4" s="122"/>
      <c r="F4" s="122"/>
      <c r="G4" s="122"/>
      <c r="H4" s="122"/>
      <c r="I4" s="124"/>
      <c r="J4" s="122"/>
    </row>
    <row r="5" spans="1:10" ht="15">
      <c r="A5" s="10"/>
      <c r="B5" s="67" t="s">
        <v>2</v>
      </c>
      <c r="C5" s="125"/>
      <c r="D5" s="122"/>
      <c r="E5" s="122"/>
      <c r="F5" s="122"/>
      <c r="G5" s="122"/>
      <c r="H5" s="122"/>
      <c r="I5" s="124"/>
      <c r="J5" s="122"/>
    </row>
    <row r="6" spans="1:10" ht="15">
      <c r="A6" s="10"/>
      <c r="B6" s="67"/>
      <c r="C6" s="125"/>
      <c r="D6" s="122"/>
      <c r="E6" s="122"/>
      <c r="F6" s="122"/>
      <c r="G6" s="122"/>
      <c r="H6" s="122"/>
      <c r="I6" s="124"/>
      <c r="J6" s="122"/>
    </row>
    <row r="7" spans="1:10" ht="15">
      <c r="A7" s="10"/>
      <c r="B7" s="126" t="s">
        <v>167</v>
      </c>
      <c r="C7" s="127"/>
      <c r="D7" s="122"/>
      <c r="E7" s="122"/>
      <c r="F7" s="122"/>
      <c r="G7" s="122"/>
      <c r="H7" s="122"/>
      <c r="I7" s="124"/>
      <c r="J7" s="122"/>
    </row>
    <row r="8" spans="1:10" ht="15">
      <c r="A8" s="10"/>
      <c r="B8" s="13"/>
      <c r="C8" s="125"/>
      <c r="D8" s="122"/>
      <c r="E8" s="122"/>
      <c r="F8" s="122"/>
      <c r="G8" s="122"/>
      <c r="H8" s="122"/>
      <c r="I8" s="124"/>
      <c r="J8" s="122"/>
    </row>
    <row r="9" spans="1:10" ht="15">
      <c r="A9" s="10"/>
      <c r="B9" s="8"/>
      <c r="C9" s="125"/>
      <c r="D9" s="122"/>
      <c r="E9" s="122"/>
      <c r="F9" s="122"/>
      <c r="G9" s="122"/>
      <c r="H9" s="122"/>
      <c r="I9" s="124"/>
      <c r="J9" s="122"/>
    </row>
    <row r="10" spans="1:10" ht="14.25">
      <c r="A10" s="128"/>
      <c r="B10" s="129"/>
      <c r="C10" s="130" t="s">
        <v>63</v>
      </c>
      <c r="D10" s="130"/>
      <c r="E10" s="130" t="s">
        <v>63</v>
      </c>
      <c r="F10" s="130"/>
      <c r="G10" s="130" t="s">
        <v>64</v>
      </c>
      <c r="H10" s="130"/>
      <c r="I10" s="130"/>
      <c r="J10" s="128"/>
    </row>
    <row r="11" spans="1:10" ht="15">
      <c r="A11" s="128"/>
      <c r="B11" s="131"/>
      <c r="C11" s="130" t="s">
        <v>65</v>
      </c>
      <c r="D11" s="130"/>
      <c r="E11" s="130" t="s">
        <v>66</v>
      </c>
      <c r="F11" s="130"/>
      <c r="G11" s="130" t="s">
        <v>67</v>
      </c>
      <c r="H11" s="130"/>
      <c r="I11" s="130" t="s">
        <v>68</v>
      </c>
      <c r="J11" s="128"/>
    </row>
    <row r="12" spans="1:10" ht="15">
      <c r="A12" s="128"/>
      <c r="B12" s="131"/>
      <c r="C12" s="130" t="s">
        <v>13</v>
      </c>
      <c r="D12" s="130"/>
      <c r="E12" s="130" t="s">
        <v>13</v>
      </c>
      <c r="F12" s="130"/>
      <c r="G12" s="130" t="s">
        <v>13</v>
      </c>
      <c r="H12" s="130"/>
      <c r="I12" s="130" t="s">
        <v>13</v>
      </c>
      <c r="J12" s="128"/>
    </row>
    <row r="13" spans="2:10" ht="15">
      <c r="B13" s="132"/>
      <c r="C13" s="133"/>
      <c r="D13" s="134"/>
      <c r="E13" s="133"/>
      <c r="F13" s="130"/>
      <c r="G13" s="133"/>
      <c r="H13" s="130"/>
      <c r="I13" s="133"/>
      <c r="J13"/>
    </row>
    <row r="14" spans="2:10" ht="15">
      <c r="B14" s="132" t="s">
        <v>69</v>
      </c>
      <c r="C14" s="135">
        <f>'[1]Qtr-BS (2)'!C44</f>
        <v>42000</v>
      </c>
      <c r="D14" s="135"/>
      <c r="E14" s="135">
        <f>'[1]Qtr-BS (2)'!C46+0.5</f>
        <v>2507.06177</v>
      </c>
      <c r="F14" s="135"/>
      <c r="G14" s="135">
        <f>'[1]Qtr-BS (2)'!E47</f>
        <v>22765.536</v>
      </c>
      <c r="H14" s="135"/>
      <c r="I14" s="135">
        <f>SUM(C14:G14)</f>
        <v>67272.59777</v>
      </c>
      <c r="J14"/>
    </row>
    <row r="15" spans="2:10" ht="15">
      <c r="B15" s="132"/>
      <c r="C15" s="135"/>
      <c r="D15" s="135"/>
      <c r="E15" s="135"/>
      <c r="F15" s="135"/>
      <c r="G15" s="135"/>
      <c r="H15" s="135"/>
      <c r="I15" s="135"/>
      <c r="J15"/>
    </row>
    <row r="16" spans="2:10" ht="15">
      <c r="B16" s="132" t="s">
        <v>70</v>
      </c>
      <c r="C16" s="47">
        <v>0</v>
      </c>
      <c r="D16" s="47"/>
      <c r="E16" s="47">
        <v>0</v>
      </c>
      <c r="F16" s="47"/>
      <c r="G16" s="47">
        <f>'[1]Qtr-P&amp;L (2)'!F38</f>
        <v>7762.68587614001</v>
      </c>
      <c r="H16" s="47"/>
      <c r="I16" s="47">
        <f>SUM(C16:G16)</f>
        <v>7762.68587614001</v>
      </c>
      <c r="J16" s="136"/>
    </row>
    <row r="17" spans="2:10" ht="15">
      <c r="B17" s="132"/>
      <c r="C17" s="47"/>
      <c r="D17" s="47"/>
      <c r="E17" s="47"/>
      <c r="F17" s="47"/>
      <c r="G17" s="47"/>
      <c r="H17" s="47"/>
      <c r="I17" s="47"/>
      <c r="J17" s="136"/>
    </row>
    <row r="18" spans="2:10" ht="15">
      <c r="B18" s="132" t="s">
        <v>71</v>
      </c>
      <c r="C18" s="44">
        <v>0</v>
      </c>
      <c r="D18" s="44"/>
      <c r="E18" s="44">
        <v>0</v>
      </c>
      <c r="F18" s="44"/>
      <c r="G18" s="44">
        <v>-1512</v>
      </c>
      <c r="H18" s="44"/>
      <c r="I18" s="44">
        <f>SUM(C18:G18)</f>
        <v>-1512</v>
      </c>
      <c r="J18" s="136"/>
    </row>
    <row r="19" spans="2:10" ht="15">
      <c r="B19" s="132"/>
      <c r="C19" s="47"/>
      <c r="D19" s="47"/>
      <c r="E19" s="47"/>
      <c r="F19" s="47"/>
      <c r="G19" s="47"/>
      <c r="H19" s="47"/>
      <c r="I19" s="47"/>
      <c r="J19" s="137"/>
    </row>
    <row r="20" spans="2:10" ht="15.75" thickBot="1">
      <c r="B20" s="132" t="s">
        <v>72</v>
      </c>
      <c r="C20" s="138">
        <f>SUM(C14:C18)</f>
        <v>42000</v>
      </c>
      <c r="D20" s="138"/>
      <c r="E20" s="138">
        <f>SUM(E14:E18)</f>
        <v>2507.06177</v>
      </c>
      <c r="F20" s="138"/>
      <c r="G20" s="138">
        <f>SUM(G14:G18)+0.3</f>
        <v>29016.52187614001</v>
      </c>
      <c r="H20" s="138"/>
      <c r="I20" s="138">
        <f>SUM(C20:H20)</f>
        <v>73523.58364614</v>
      </c>
      <c r="J20" s="139"/>
    </row>
    <row r="21" spans="2:10" ht="15">
      <c r="B21" s="132"/>
      <c r="C21" s="47"/>
      <c r="D21" s="47"/>
      <c r="E21" s="47"/>
      <c r="F21" s="47"/>
      <c r="G21" s="47"/>
      <c r="H21" s="47"/>
      <c r="I21" s="47"/>
      <c r="J21" s="137"/>
    </row>
    <row r="22" spans="2:10" ht="15">
      <c r="B22" s="132"/>
      <c r="C22" s="135"/>
      <c r="D22" s="135"/>
      <c r="E22" s="135"/>
      <c r="F22" s="135"/>
      <c r="G22" s="135"/>
      <c r="H22" s="135"/>
      <c r="I22" s="135"/>
      <c r="J22" s="137"/>
    </row>
    <row r="23" spans="2:10" ht="15">
      <c r="B23" s="132"/>
      <c r="C23" s="135"/>
      <c r="D23" s="135"/>
      <c r="E23" s="135"/>
      <c r="F23" s="135"/>
      <c r="G23" s="135"/>
      <c r="H23" s="135"/>
      <c r="I23" s="135"/>
      <c r="J23" s="137"/>
    </row>
    <row r="24" spans="2:10" ht="15">
      <c r="B24" s="132"/>
      <c r="C24" s="135"/>
      <c r="D24" s="135"/>
      <c r="E24" s="135"/>
      <c r="F24" s="135"/>
      <c r="G24" s="135"/>
      <c r="H24" s="135"/>
      <c r="I24" s="135"/>
      <c r="J24" s="137"/>
    </row>
    <row r="25" spans="2:10" ht="15">
      <c r="B25" s="132"/>
      <c r="C25" s="135"/>
      <c r="D25" s="135"/>
      <c r="E25" s="135"/>
      <c r="F25" s="135"/>
      <c r="G25" s="135"/>
      <c r="H25" s="135"/>
      <c r="I25" s="135"/>
      <c r="J25" s="137"/>
    </row>
    <row r="26" spans="2:10" ht="15">
      <c r="B26" s="140"/>
      <c r="C26" s="132"/>
      <c r="D26" s="132"/>
      <c r="E26" s="132"/>
      <c r="F26" s="132"/>
      <c r="G26" s="132"/>
      <c r="H26" s="132"/>
      <c r="I26" s="132"/>
      <c r="J26"/>
    </row>
    <row r="27" spans="2:10" ht="15">
      <c r="B27" s="140"/>
      <c r="C27" s="132"/>
      <c r="D27" s="132"/>
      <c r="E27" s="132"/>
      <c r="F27" s="132"/>
      <c r="G27" s="132"/>
      <c r="H27" s="132"/>
      <c r="I27" s="132"/>
      <c r="J27"/>
    </row>
    <row r="28" spans="2:10" ht="15">
      <c r="B28" s="140"/>
      <c r="C28" s="132"/>
      <c r="D28" s="132"/>
      <c r="E28" s="132"/>
      <c r="F28" s="132"/>
      <c r="G28" s="132"/>
      <c r="H28" s="132"/>
      <c r="I28" s="132"/>
      <c r="J28"/>
    </row>
    <row r="29" spans="2:10" ht="15">
      <c r="B29" s="140"/>
      <c r="C29" s="132"/>
      <c r="D29" s="132"/>
      <c r="E29" s="132"/>
      <c r="F29" s="132"/>
      <c r="G29" s="132"/>
      <c r="H29" s="132"/>
      <c r="I29" s="132"/>
      <c r="J29"/>
    </row>
    <row r="30" spans="2:10" ht="15">
      <c r="B30" s="140"/>
      <c r="C30" s="132"/>
      <c r="D30" s="132"/>
      <c r="E30" s="132"/>
      <c r="F30" s="132"/>
      <c r="G30" s="132"/>
      <c r="H30" s="132"/>
      <c r="I30" s="132"/>
      <c r="J30"/>
    </row>
    <row r="31" spans="2:10" ht="15">
      <c r="B31" s="140"/>
      <c r="C31" s="132"/>
      <c r="D31" s="132"/>
      <c r="E31" s="132"/>
      <c r="F31" s="132"/>
      <c r="G31" s="132"/>
      <c r="H31" s="132"/>
      <c r="I31" s="132"/>
      <c r="J31"/>
    </row>
    <row r="32" spans="2:10" ht="15">
      <c r="B32" s="140"/>
      <c r="C32" s="132"/>
      <c r="D32" s="132"/>
      <c r="E32" s="132"/>
      <c r="F32" s="132"/>
      <c r="G32" s="132"/>
      <c r="H32" s="132"/>
      <c r="I32" s="132"/>
      <c r="J32"/>
    </row>
    <row r="33" spans="2:10" ht="15">
      <c r="B33" s="140"/>
      <c r="C33" s="132"/>
      <c r="D33" s="132"/>
      <c r="E33" s="132"/>
      <c r="F33" s="132"/>
      <c r="G33" s="132"/>
      <c r="H33" s="132"/>
      <c r="I33" s="132"/>
      <c r="J33"/>
    </row>
    <row r="34" spans="2:10" ht="15">
      <c r="B34" s="140"/>
      <c r="C34" s="132"/>
      <c r="D34" s="132"/>
      <c r="E34" s="132"/>
      <c r="F34" s="132"/>
      <c r="G34" s="132"/>
      <c r="H34" s="132"/>
      <c r="I34" s="132"/>
      <c r="J34"/>
    </row>
    <row r="35" spans="2:10" ht="15">
      <c r="B35" s="140"/>
      <c r="C35" s="132"/>
      <c r="D35" s="132"/>
      <c r="E35" s="132"/>
      <c r="F35" s="132"/>
      <c r="G35" s="132"/>
      <c r="H35" s="132"/>
      <c r="I35" s="132"/>
      <c r="J35"/>
    </row>
    <row r="36" spans="2:10" ht="15">
      <c r="B36" s="140"/>
      <c r="C36" s="132"/>
      <c r="D36" s="132"/>
      <c r="E36" s="132"/>
      <c r="F36" s="132"/>
      <c r="G36" s="132"/>
      <c r="H36" s="132"/>
      <c r="I36" s="132"/>
      <c r="J36"/>
    </row>
    <row r="37" spans="2:10" ht="15">
      <c r="B37" s="140"/>
      <c r="C37" s="132"/>
      <c r="D37" s="132"/>
      <c r="E37" s="132"/>
      <c r="F37" s="132"/>
      <c r="G37" s="132"/>
      <c r="H37" s="132"/>
      <c r="I37" s="132"/>
      <c r="J37"/>
    </row>
    <row r="38" spans="2:10" ht="15">
      <c r="B38" s="140"/>
      <c r="C38" s="132"/>
      <c r="D38" s="132"/>
      <c r="E38" s="132"/>
      <c r="F38" s="132"/>
      <c r="G38" s="132"/>
      <c r="H38" s="132"/>
      <c r="I38" s="132"/>
      <c r="J38"/>
    </row>
    <row r="39" spans="2:10" ht="15">
      <c r="B39" s="140"/>
      <c r="C39" s="132"/>
      <c r="D39" s="132"/>
      <c r="E39" s="132"/>
      <c r="F39" s="132"/>
      <c r="G39" s="132"/>
      <c r="H39" s="132"/>
      <c r="I39" s="132"/>
      <c r="J39"/>
    </row>
    <row r="40" spans="2:10" ht="15">
      <c r="B40" s="140"/>
      <c r="C40" s="132"/>
      <c r="D40" s="132"/>
      <c r="E40" s="132"/>
      <c r="F40" s="132"/>
      <c r="G40" s="132"/>
      <c r="H40" s="132"/>
      <c r="I40" s="132"/>
      <c r="J40"/>
    </row>
    <row r="41" spans="2:10" ht="15">
      <c r="B41" s="140"/>
      <c r="C41" s="132"/>
      <c r="D41" s="132"/>
      <c r="E41" s="132"/>
      <c r="F41" s="132"/>
      <c r="G41" s="132"/>
      <c r="H41" s="132"/>
      <c r="I41" s="132"/>
      <c r="J41"/>
    </row>
    <row r="42" spans="2:10" ht="15">
      <c r="B42" s="140"/>
      <c r="C42" s="132"/>
      <c r="D42" s="132"/>
      <c r="E42" s="132"/>
      <c r="F42" s="132"/>
      <c r="G42" s="132"/>
      <c r="H42" s="132"/>
      <c r="I42" s="132"/>
      <c r="J42"/>
    </row>
    <row r="43" spans="2:10" ht="15">
      <c r="B43" s="140"/>
      <c r="C43" s="132"/>
      <c r="D43" s="132"/>
      <c r="E43" s="132"/>
      <c r="F43" s="132"/>
      <c r="G43" s="132"/>
      <c r="H43" s="132"/>
      <c r="I43" s="132"/>
      <c r="J43"/>
    </row>
    <row r="44" spans="2:10" ht="15">
      <c r="B44" s="140"/>
      <c r="C44" s="132"/>
      <c r="D44" s="132"/>
      <c r="E44" s="132"/>
      <c r="F44" s="132"/>
      <c r="G44" s="132"/>
      <c r="H44" s="132"/>
      <c r="I44" s="132"/>
      <c r="J44"/>
    </row>
    <row r="45" spans="2:10" ht="15">
      <c r="B45" s="140"/>
      <c r="C45" s="132"/>
      <c r="D45" s="132"/>
      <c r="E45" s="132"/>
      <c r="F45" s="132"/>
      <c r="G45" s="132"/>
      <c r="H45" s="132"/>
      <c r="I45" s="132"/>
      <c r="J45"/>
    </row>
    <row r="46" spans="2:10" ht="15">
      <c r="B46" s="140"/>
      <c r="C46" s="132"/>
      <c r="D46" s="132"/>
      <c r="E46" s="132"/>
      <c r="F46" s="132"/>
      <c r="G46" s="132"/>
      <c r="H46" s="132"/>
      <c r="I46" s="132"/>
      <c r="J46"/>
    </row>
    <row r="47" spans="2:9" ht="15">
      <c r="B47" s="132"/>
      <c r="C47" s="140"/>
      <c r="D47" s="140"/>
      <c r="E47" s="140"/>
      <c r="F47" s="140"/>
      <c r="G47" s="140"/>
      <c r="H47" s="140"/>
      <c r="I47" s="140"/>
    </row>
    <row r="48" spans="2:9" ht="15">
      <c r="B48" s="132"/>
      <c r="C48" s="140"/>
      <c r="D48" s="140"/>
      <c r="E48" s="140"/>
      <c r="F48" s="140"/>
      <c r="G48" s="140"/>
      <c r="H48" s="140"/>
      <c r="I48" s="140"/>
    </row>
    <row r="49" spans="2:9" ht="15">
      <c r="B49" s="132"/>
      <c r="C49" s="140"/>
      <c r="D49" s="140"/>
      <c r="E49" s="140"/>
      <c r="F49" s="140"/>
      <c r="G49" s="140"/>
      <c r="H49" s="140"/>
      <c r="I49" s="140"/>
    </row>
    <row r="50" spans="2:9" ht="15">
      <c r="B50" s="132"/>
      <c r="C50" s="140"/>
      <c r="D50" s="140"/>
      <c r="E50" s="140"/>
      <c r="F50" s="140"/>
      <c r="G50" s="140"/>
      <c r="H50" s="140"/>
      <c r="I50" s="140"/>
    </row>
    <row r="51" spans="2:9" ht="15">
      <c r="B51" s="132"/>
      <c r="C51" s="140"/>
      <c r="D51" s="140"/>
      <c r="E51" s="140"/>
      <c r="F51" s="140"/>
      <c r="G51" s="140"/>
      <c r="H51" s="140"/>
      <c r="I51" s="140"/>
    </row>
  </sheetData>
  <printOptions/>
  <pageMargins left="0.75" right="0.75" top="0.63" bottom="0.8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J226"/>
  <sheetViews>
    <sheetView workbookViewId="0" topLeftCell="A190">
      <selection activeCell="D209" sqref="D209"/>
    </sheetView>
  </sheetViews>
  <sheetFormatPr defaultColWidth="9.140625" defaultRowHeight="12.75"/>
  <cols>
    <col min="1" max="1" width="4.140625" style="127" customWidth="1"/>
    <col min="2" max="3" width="3.00390625" style="127" customWidth="1"/>
    <col min="4" max="4" width="32.28125" style="127" customWidth="1"/>
    <col min="5" max="6" width="11.28125" style="127" customWidth="1"/>
    <col min="7" max="7" width="15.28125" style="127" customWidth="1"/>
    <col min="8" max="8" width="1.28515625" style="127" customWidth="1"/>
    <col min="9" max="10" width="9.140625" style="10" customWidth="1"/>
  </cols>
  <sheetData>
    <row r="1" spans="1:8" ht="12.75">
      <c r="A1" s="209"/>
      <c r="B1" s="209"/>
      <c r="C1" s="209"/>
      <c r="D1" s="209"/>
      <c r="E1" s="209"/>
      <c r="F1" s="209"/>
      <c r="G1" s="209"/>
      <c r="H1" s="209"/>
    </row>
    <row r="2" spans="1:8" ht="12.75">
      <c r="A2" s="171" t="s">
        <v>102</v>
      </c>
      <c r="B2" s="171"/>
      <c r="C2" s="171"/>
      <c r="D2" s="171"/>
      <c r="E2" s="171"/>
      <c r="F2" s="171"/>
      <c r="G2" s="171"/>
      <c r="H2" s="171"/>
    </row>
    <row r="3" spans="1:8" ht="15">
      <c r="A3" s="172"/>
      <c r="B3" s="172"/>
      <c r="C3" s="172"/>
      <c r="D3" s="172"/>
      <c r="E3" s="172"/>
      <c r="F3" s="172"/>
      <c r="G3" s="172"/>
      <c r="H3" s="172"/>
    </row>
    <row r="5" spans="1:3" ht="12.75">
      <c r="A5" s="173" t="s">
        <v>103</v>
      </c>
      <c r="B5" s="174" t="s">
        <v>104</v>
      </c>
      <c r="C5" s="174"/>
    </row>
    <row r="6" spans="1:3" ht="12.75">
      <c r="A6" s="173"/>
      <c r="B6" s="174"/>
      <c r="C6" s="174"/>
    </row>
    <row r="7" spans="1:3" ht="12.75">
      <c r="A7" s="173"/>
      <c r="B7" s="174"/>
      <c r="C7" s="174"/>
    </row>
    <row r="8" spans="1:3" ht="12.75">
      <c r="A8" s="173"/>
      <c r="B8" s="174"/>
      <c r="C8" s="174"/>
    </row>
    <row r="9" spans="1:3" ht="12.75">
      <c r="A9" s="173"/>
      <c r="B9" s="174"/>
      <c r="C9" s="174"/>
    </row>
    <row r="10" spans="1:3" ht="12.75">
      <c r="A10" s="173"/>
      <c r="B10" s="174"/>
      <c r="C10" s="174"/>
    </row>
    <row r="11" spans="1:3" ht="12.75">
      <c r="A11" s="173"/>
      <c r="B11" s="174"/>
      <c r="C11" s="174"/>
    </row>
    <row r="12" spans="1:3" ht="12.75">
      <c r="A12" s="173"/>
      <c r="B12" s="174"/>
      <c r="C12" s="174"/>
    </row>
    <row r="13" spans="1:3" ht="12.75">
      <c r="A13" s="173"/>
      <c r="B13" s="174"/>
      <c r="C13" s="174"/>
    </row>
    <row r="14" spans="1:3" ht="12.75">
      <c r="A14" s="173"/>
      <c r="B14" s="174"/>
      <c r="C14" s="174"/>
    </row>
    <row r="15" spans="1:3" ht="12.75">
      <c r="A15" s="173"/>
      <c r="B15" s="174"/>
      <c r="C15" s="174"/>
    </row>
    <row r="16" spans="1:3" ht="12.75">
      <c r="A16" s="173"/>
      <c r="B16" s="174"/>
      <c r="C16" s="174"/>
    </row>
    <row r="17" spans="1:3" ht="12.75">
      <c r="A17" s="173" t="s">
        <v>105</v>
      </c>
      <c r="B17" s="174" t="s">
        <v>106</v>
      </c>
      <c r="C17" s="174"/>
    </row>
    <row r="18" spans="1:3" ht="12.75">
      <c r="A18" s="173"/>
      <c r="B18" s="174"/>
      <c r="C18" s="174"/>
    </row>
    <row r="19" spans="1:3" ht="12.75">
      <c r="A19" s="173"/>
      <c r="B19" s="174"/>
      <c r="C19" s="174"/>
    </row>
    <row r="20" spans="1:3" ht="12.75">
      <c r="A20" s="173"/>
      <c r="B20" s="174"/>
      <c r="C20" s="174"/>
    </row>
    <row r="21" spans="1:3" ht="12.75">
      <c r="A21" s="173" t="s">
        <v>107</v>
      </c>
      <c r="B21" s="174" t="s">
        <v>108</v>
      </c>
      <c r="C21" s="174"/>
    </row>
    <row r="22" spans="1:3" ht="12.75">
      <c r="A22" s="173"/>
      <c r="B22" s="174"/>
      <c r="C22" s="174"/>
    </row>
    <row r="23" spans="1:3" ht="12.75">
      <c r="A23" s="173"/>
      <c r="B23" s="127" t="s">
        <v>170</v>
      </c>
      <c r="C23" s="174"/>
    </row>
    <row r="24" spans="1:2" ht="12.75">
      <c r="A24" s="173"/>
      <c r="B24" s="174"/>
    </row>
    <row r="25" spans="1:3" ht="12.75">
      <c r="A25" s="173"/>
      <c r="B25" s="174"/>
      <c r="C25" s="174"/>
    </row>
    <row r="26" spans="1:3" ht="12.75">
      <c r="A26" s="173" t="s">
        <v>109</v>
      </c>
      <c r="B26" s="174" t="s">
        <v>110</v>
      </c>
      <c r="C26" s="174"/>
    </row>
    <row r="27" spans="1:3" ht="12.75">
      <c r="A27" s="173"/>
      <c r="B27" s="174"/>
      <c r="C27" s="174"/>
    </row>
    <row r="28" spans="1:3" ht="12.75">
      <c r="A28" s="173"/>
      <c r="B28" s="174"/>
      <c r="C28" s="174"/>
    </row>
    <row r="29" spans="1:3" ht="12.75">
      <c r="A29" s="173"/>
      <c r="B29" s="174"/>
      <c r="C29" s="174"/>
    </row>
    <row r="30" spans="1:3" ht="12.75">
      <c r="A30" s="173"/>
      <c r="B30" s="174"/>
      <c r="C30" s="174"/>
    </row>
    <row r="31" spans="1:3" ht="12.75">
      <c r="A31" s="173"/>
      <c r="B31" s="174"/>
      <c r="C31" s="174"/>
    </row>
    <row r="32" spans="1:3" ht="12.75">
      <c r="A32" s="175" t="s">
        <v>111</v>
      </c>
      <c r="B32" s="174" t="s">
        <v>112</v>
      </c>
      <c r="C32" s="174"/>
    </row>
    <row r="33" spans="1:3" ht="12.75">
      <c r="A33" s="173"/>
      <c r="B33" s="174"/>
      <c r="C33" s="174"/>
    </row>
    <row r="34" spans="1:3" ht="12.75">
      <c r="A34" s="173"/>
      <c r="B34" s="127" t="s">
        <v>113</v>
      </c>
      <c r="C34" s="174"/>
    </row>
    <row r="35" spans="1:3" ht="12.75">
      <c r="A35" s="173"/>
      <c r="B35" s="174"/>
      <c r="C35" s="174"/>
    </row>
    <row r="36" ht="12.75">
      <c r="A36" s="176"/>
    </row>
    <row r="37" spans="1:3" ht="12.75">
      <c r="A37" s="175" t="s">
        <v>114</v>
      </c>
      <c r="B37" s="174" t="s">
        <v>20</v>
      </c>
      <c r="C37" s="174"/>
    </row>
    <row r="38" spans="1:6" ht="12.75">
      <c r="A38" s="173"/>
      <c r="B38" s="174"/>
      <c r="C38" s="174"/>
      <c r="E38" s="177" t="s">
        <v>115</v>
      </c>
      <c r="F38" s="177" t="s">
        <v>115</v>
      </c>
    </row>
    <row r="39" spans="1:10" ht="12.75">
      <c r="A39" s="173"/>
      <c r="B39" s="174"/>
      <c r="C39" s="174"/>
      <c r="E39" s="177" t="s">
        <v>116</v>
      </c>
      <c r="F39" s="177" t="s">
        <v>117</v>
      </c>
      <c r="J39" s="178"/>
    </row>
    <row r="40" spans="1:6" ht="12.75">
      <c r="A40" s="173"/>
      <c r="B40" s="174"/>
      <c r="C40" s="174"/>
      <c r="E40" s="179" t="s">
        <v>13</v>
      </c>
      <c r="F40" s="179" t="s">
        <v>13</v>
      </c>
    </row>
    <row r="41" spans="1:4" ht="12.75">
      <c r="A41" s="173"/>
      <c r="B41" s="174"/>
      <c r="C41" s="174"/>
      <c r="D41" s="127" t="s">
        <v>118</v>
      </c>
    </row>
    <row r="42" spans="1:6" ht="12.75">
      <c r="A42" s="173"/>
      <c r="B42" s="174"/>
      <c r="C42" s="174"/>
      <c r="D42" s="180" t="s">
        <v>119</v>
      </c>
      <c r="E42" s="181">
        <f>-'[1]Qtr-P&amp;L (2)'!B32</f>
        <v>1002.0262561000009</v>
      </c>
      <c r="F42" s="181">
        <f>('[1]ConsolWPPL'!V33-'[1]Qtr-Notes'!F44)/1000</f>
        <v>2735.026256100001</v>
      </c>
    </row>
    <row r="43" spans="1:6" ht="12.75">
      <c r="A43" s="173"/>
      <c r="B43" s="174"/>
      <c r="C43" s="174"/>
      <c r="D43" s="180" t="s">
        <v>120</v>
      </c>
      <c r="E43" s="182">
        <v>0</v>
      </c>
      <c r="F43" s="182">
        <v>0</v>
      </c>
    </row>
    <row r="44" spans="1:6" ht="12.75">
      <c r="A44" s="173"/>
      <c r="B44" s="174"/>
      <c r="C44" s="174"/>
      <c r="D44" s="180"/>
      <c r="E44" s="181"/>
      <c r="F44" s="181"/>
    </row>
    <row r="45" spans="1:6" ht="13.5" thickBot="1">
      <c r="A45" s="173"/>
      <c r="B45" s="174"/>
      <c r="C45" s="174"/>
      <c r="E45" s="183">
        <f>SUM(E42:E44)</f>
        <v>1002.0262561000009</v>
      </c>
      <c r="F45" s="183">
        <f>SUM(F42:F44)</f>
        <v>2735.026256100001</v>
      </c>
    </row>
    <row r="46" spans="1:3" ht="12.75">
      <c r="A46" s="173"/>
      <c r="B46" s="174"/>
      <c r="C46" s="174"/>
    </row>
    <row r="47" spans="1:3" ht="12.75">
      <c r="A47" s="173"/>
      <c r="B47" s="174"/>
      <c r="C47" s="174"/>
    </row>
    <row r="48" spans="1:3" ht="12.75">
      <c r="A48" s="173"/>
      <c r="B48" s="174"/>
      <c r="C48" s="174"/>
    </row>
    <row r="49" spans="1:3" ht="12.75">
      <c r="A49" s="173"/>
      <c r="B49" s="174"/>
      <c r="C49" s="174"/>
    </row>
    <row r="50" spans="1:3" ht="12.75">
      <c r="A50" s="173"/>
      <c r="B50" s="174"/>
      <c r="C50" s="174"/>
    </row>
    <row r="51" spans="1:3" ht="12.75">
      <c r="A51" s="173"/>
      <c r="B51" s="174"/>
      <c r="C51" s="174"/>
    </row>
    <row r="52" spans="1:3" ht="12.75">
      <c r="A52" s="173" t="s">
        <v>121</v>
      </c>
      <c r="B52" s="174" t="s">
        <v>122</v>
      </c>
      <c r="C52" s="174"/>
    </row>
    <row r="53" spans="1:3" ht="12.75">
      <c r="A53" s="173"/>
      <c r="B53" s="174"/>
      <c r="C53" s="174"/>
    </row>
    <row r="54" spans="1:3" ht="12.75">
      <c r="A54" s="173"/>
      <c r="B54" s="174"/>
      <c r="C54" s="174"/>
    </row>
    <row r="55" spans="1:3" ht="12.75">
      <c r="A55" s="173"/>
      <c r="B55" s="174"/>
      <c r="C55" s="174"/>
    </row>
    <row r="56" spans="1:3" ht="12.75">
      <c r="A56" s="173"/>
      <c r="B56" s="174"/>
      <c r="C56" s="174"/>
    </row>
    <row r="59" spans="1:3" ht="12.75">
      <c r="A59" s="173" t="s">
        <v>123</v>
      </c>
      <c r="B59" s="174" t="s">
        <v>124</v>
      </c>
      <c r="C59" s="174"/>
    </row>
    <row r="60" spans="1:3" ht="12.75">
      <c r="A60" s="173"/>
      <c r="B60" s="174"/>
      <c r="C60" s="174"/>
    </row>
    <row r="61" spans="1:3" ht="12.75">
      <c r="A61" s="173"/>
      <c r="B61" s="174"/>
      <c r="C61" s="174"/>
    </row>
    <row r="62" spans="1:3" ht="12.75">
      <c r="A62" s="173"/>
      <c r="B62" s="174"/>
      <c r="C62" s="174"/>
    </row>
    <row r="63" spans="1:3" ht="12.75">
      <c r="A63" s="173"/>
      <c r="B63" s="174"/>
      <c r="C63" s="174"/>
    </row>
    <row r="64" spans="1:3" ht="12.75">
      <c r="A64" s="173"/>
      <c r="B64" s="174"/>
      <c r="C64" s="174"/>
    </row>
    <row r="65" spans="1:3" ht="12.75">
      <c r="A65" s="173" t="s">
        <v>125</v>
      </c>
      <c r="B65" s="174" t="s">
        <v>126</v>
      </c>
      <c r="C65" s="174"/>
    </row>
    <row r="66" spans="1:3" ht="12.75">
      <c r="A66" s="173"/>
      <c r="B66" s="174"/>
      <c r="C66" s="174"/>
    </row>
    <row r="67" spans="1:9" ht="12.75">
      <c r="A67" s="173"/>
      <c r="C67" s="174"/>
      <c r="I67" s="178"/>
    </row>
    <row r="68" spans="1:3" ht="12.75">
      <c r="A68" s="173"/>
      <c r="B68" s="174"/>
      <c r="C68" s="174"/>
    </row>
    <row r="69" spans="1:3" ht="12.75">
      <c r="A69" s="173"/>
      <c r="B69" s="174"/>
      <c r="C69" s="174"/>
    </row>
    <row r="70" spans="1:3" ht="12.75">
      <c r="A70" s="173"/>
      <c r="B70" s="174"/>
      <c r="C70" s="174"/>
    </row>
    <row r="71" spans="1:10" ht="12.75">
      <c r="A71" s="184" t="s">
        <v>127</v>
      </c>
      <c r="B71" s="185" t="s">
        <v>128</v>
      </c>
      <c r="C71" s="185"/>
      <c r="D71" s="186"/>
      <c r="E71" s="186"/>
      <c r="F71" s="186"/>
      <c r="G71" s="186"/>
      <c r="H71" s="186"/>
      <c r="I71" s="187"/>
      <c r="J71" s="187"/>
    </row>
    <row r="72" spans="1:10" ht="12.75">
      <c r="A72" s="184"/>
      <c r="B72" s="185"/>
      <c r="C72" s="185"/>
      <c r="D72" s="186"/>
      <c r="E72" s="186"/>
      <c r="F72" s="186"/>
      <c r="G72" s="186"/>
      <c r="H72" s="186"/>
      <c r="I72" s="187"/>
      <c r="J72" s="187"/>
    </row>
    <row r="73" spans="1:10" ht="12.75">
      <c r="A73" s="184"/>
      <c r="B73" s="186" t="s">
        <v>129</v>
      </c>
      <c r="C73" s="185"/>
      <c r="D73" s="186"/>
      <c r="E73" s="186"/>
      <c r="F73" s="186"/>
      <c r="G73" s="186"/>
      <c r="H73" s="186"/>
      <c r="I73" s="187"/>
      <c r="J73" s="187"/>
    </row>
    <row r="74" spans="1:10" ht="12.75">
      <c r="A74" s="188"/>
      <c r="B74" s="186"/>
      <c r="C74" s="186"/>
      <c r="D74" s="186"/>
      <c r="E74" s="186"/>
      <c r="F74" s="186"/>
      <c r="G74" s="186"/>
      <c r="H74" s="186"/>
      <c r="I74" s="187"/>
      <c r="J74" s="187"/>
    </row>
    <row r="75" spans="1:10" ht="12.75">
      <c r="A75" s="188"/>
      <c r="B75" s="186" t="s">
        <v>130</v>
      </c>
      <c r="C75" s="186"/>
      <c r="D75" s="186"/>
      <c r="E75" s="186"/>
      <c r="F75" s="186"/>
      <c r="G75" s="186"/>
      <c r="H75" s="186"/>
      <c r="I75" s="187"/>
      <c r="J75" s="187"/>
    </row>
    <row r="76" spans="1:10" ht="12.75">
      <c r="A76" s="188"/>
      <c r="B76" s="186"/>
      <c r="C76" s="186"/>
      <c r="D76" s="186"/>
      <c r="E76" s="186"/>
      <c r="F76" s="186"/>
      <c r="G76" s="186"/>
      <c r="H76" s="186"/>
      <c r="I76" s="187"/>
      <c r="J76" s="187"/>
    </row>
    <row r="77" spans="1:10" ht="12.75">
      <c r="A77" s="188"/>
      <c r="B77" s="186"/>
      <c r="C77" s="186"/>
      <c r="D77" s="186"/>
      <c r="E77" s="186"/>
      <c r="F77" s="186"/>
      <c r="G77" s="186"/>
      <c r="H77" s="186"/>
      <c r="I77" s="187"/>
      <c r="J77" s="187"/>
    </row>
    <row r="78" spans="1:10" ht="12.75">
      <c r="A78" s="188"/>
      <c r="B78" s="186"/>
      <c r="C78" s="186"/>
      <c r="D78" s="186"/>
      <c r="E78" s="186"/>
      <c r="F78" s="186"/>
      <c r="G78" s="186"/>
      <c r="H78" s="186"/>
      <c r="I78" s="187"/>
      <c r="J78" s="187"/>
    </row>
    <row r="79" spans="1:10" ht="12.75">
      <c r="A79" s="188"/>
      <c r="B79" s="186"/>
      <c r="C79" s="186"/>
      <c r="D79" s="186"/>
      <c r="E79" s="186"/>
      <c r="F79" s="186"/>
      <c r="G79" s="186"/>
      <c r="H79" s="186"/>
      <c r="I79" s="187"/>
      <c r="J79" s="187"/>
    </row>
    <row r="80" spans="1:10" ht="12.75">
      <c r="A80" s="188"/>
      <c r="B80" s="186" t="s">
        <v>131</v>
      </c>
      <c r="C80" s="186"/>
      <c r="D80" s="186"/>
      <c r="E80" s="186"/>
      <c r="F80" s="186"/>
      <c r="G80" s="186"/>
      <c r="H80" s="186"/>
      <c r="I80" s="187"/>
      <c r="J80" s="187"/>
    </row>
    <row r="81" spans="1:10" ht="12.75">
      <c r="A81" s="188"/>
      <c r="B81" s="186"/>
      <c r="C81" s="186"/>
      <c r="D81" s="186"/>
      <c r="E81" s="186"/>
      <c r="F81" s="186"/>
      <c r="G81" s="186"/>
      <c r="H81" s="186"/>
      <c r="I81" s="187"/>
      <c r="J81" s="187"/>
    </row>
    <row r="82" spans="1:10" ht="12.75">
      <c r="A82" s="188"/>
      <c r="B82" s="186"/>
      <c r="C82" s="186"/>
      <c r="D82" s="186"/>
      <c r="E82" s="186"/>
      <c r="F82" s="186"/>
      <c r="G82" s="186"/>
      <c r="H82" s="186"/>
      <c r="I82" s="187"/>
      <c r="J82" s="187"/>
    </row>
    <row r="83" spans="1:10" ht="12.75">
      <c r="A83" s="188"/>
      <c r="B83" s="186"/>
      <c r="C83" s="186"/>
      <c r="D83" s="186"/>
      <c r="E83" s="186"/>
      <c r="F83" s="186"/>
      <c r="G83" s="186"/>
      <c r="H83" s="186"/>
      <c r="I83" s="187"/>
      <c r="J83" s="187"/>
    </row>
    <row r="84" spans="1:10" ht="12.75">
      <c r="A84" s="188"/>
      <c r="B84" s="186" t="s">
        <v>132</v>
      </c>
      <c r="C84" s="186"/>
      <c r="D84" s="186"/>
      <c r="E84" s="186"/>
      <c r="F84" s="186"/>
      <c r="G84" s="186"/>
      <c r="H84" s="186"/>
      <c r="I84" s="187"/>
      <c r="J84" s="187"/>
    </row>
    <row r="85" spans="1:10" ht="12.75">
      <c r="A85" s="188"/>
      <c r="B85" s="186"/>
      <c r="C85" s="186"/>
      <c r="D85" s="186"/>
      <c r="E85" s="186"/>
      <c r="F85" s="186"/>
      <c r="G85" s="186"/>
      <c r="H85" s="186"/>
      <c r="I85" s="187"/>
      <c r="J85" s="187"/>
    </row>
    <row r="86" spans="1:10" ht="12.75">
      <c r="A86" s="188"/>
      <c r="B86" s="186"/>
      <c r="C86" s="186"/>
      <c r="D86" s="186"/>
      <c r="E86" s="186"/>
      <c r="F86" s="186"/>
      <c r="G86" s="186"/>
      <c r="H86" s="186"/>
      <c r="I86" s="187"/>
      <c r="J86" s="187"/>
    </row>
    <row r="87" spans="1:10" ht="12.75">
      <c r="A87" s="184"/>
      <c r="B87" s="185"/>
      <c r="C87" s="185"/>
      <c r="D87" s="186"/>
      <c r="E87" s="186"/>
      <c r="F87" s="186"/>
      <c r="G87" s="186"/>
      <c r="H87" s="186"/>
      <c r="I87" s="187"/>
      <c r="J87" s="187"/>
    </row>
    <row r="88" spans="1:10" ht="12.75">
      <c r="A88" s="184"/>
      <c r="B88" s="185"/>
      <c r="C88" s="185"/>
      <c r="D88" s="186"/>
      <c r="E88" s="186"/>
      <c r="F88" s="186"/>
      <c r="G88" s="186"/>
      <c r="H88" s="186"/>
      <c r="I88" s="187"/>
      <c r="J88" s="187"/>
    </row>
    <row r="89" spans="1:10" ht="12.75">
      <c r="A89" s="184"/>
      <c r="B89" s="185"/>
      <c r="C89" s="185"/>
      <c r="D89" s="186"/>
      <c r="E89" s="186"/>
      <c r="F89" s="186"/>
      <c r="G89" s="186"/>
      <c r="H89" s="186"/>
      <c r="I89" s="187"/>
      <c r="J89" s="187"/>
    </row>
    <row r="90" spans="1:10" ht="12.75">
      <c r="A90" s="184"/>
      <c r="B90" s="185"/>
      <c r="C90" s="185"/>
      <c r="D90" s="186"/>
      <c r="E90" s="186"/>
      <c r="F90" s="186"/>
      <c r="G90" s="186"/>
      <c r="H90" s="186"/>
      <c r="I90" s="187"/>
      <c r="J90" s="187"/>
    </row>
    <row r="91" spans="1:10" ht="12.75">
      <c r="A91" s="184"/>
      <c r="B91" s="185"/>
      <c r="C91" s="185"/>
      <c r="D91" s="186"/>
      <c r="E91" s="186"/>
      <c r="F91" s="186"/>
      <c r="G91" s="186"/>
      <c r="H91" s="186"/>
      <c r="I91" s="187"/>
      <c r="J91" s="187"/>
    </row>
    <row r="92" spans="1:10" ht="12.75">
      <c r="A92" s="184"/>
      <c r="B92" s="185"/>
      <c r="C92" s="185"/>
      <c r="D92" s="186"/>
      <c r="E92" s="186"/>
      <c r="F92" s="186"/>
      <c r="G92" s="186"/>
      <c r="H92" s="186"/>
      <c r="I92" s="187"/>
      <c r="J92" s="187"/>
    </row>
    <row r="93" spans="1:10" ht="12.75">
      <c r="A93" s="184"/>
      <c r="B93" s="185"/>
      <c r="C93" s="185"/>
      <c r="D93" s="186"/>
      <c r="E93" s="186"/>
      <c r="F93" s="186"/>
      <c r="G93" s="186"/>
      <c r="H93" s="186"/>
      <c r="I93" s="187"/>
      <c r="J93" s="187"/>
    </row>
    <row r="94" spans="1:10" ht="12.75">
      <c r="A94" s="184"/>
      <c r="B94" s="185"/>
      <c r="C94" s="185"/>
      <c r="D94" s="186"/>
      <c r="E94" s="186"/>
      <c r="F94" s="186"/>
      <c r="G94" s="186"/>
      <c r="H94" s="186"/>
      <c r="I94" s="187"/>
      <c r="J94" s="187"/>
    </row>
    <row r="95" spans="1:10" ht="12.75">
      <c r="A95" s="184"/>
      <c r="B95" s="185"/>
      <c r="C95" s="185"/>
      <c r="D95" s="186"/>
      <c r="E95" s="186"/>
      <c r="F95" s="186"/>
      <c r="G95" s="186"/>
      <c r="H95" s="186"/>
      <c r="I95" s="187"/>
      <c r="J95" s="187"/>
    </row>
    <row r="96" spans="1:10" ht="12.75">
      <c r="A96" s="184"/>
      <c r="B96" s="185"/>
      <c r="C96" s="185"/>
      <c r="D96" s="186"/>
      <c r="E96" s="186"/>
      <c r="F96" s="186"/>
      <c r="G96" s="186"/>
      <c r="H96" s="186"/>
      <c r="I96" s="187"/>
      <c r="J96" s="187"/>
    </row>
    <row r="97" spans="1:10" ht="12.75">
      <c r="A97" s="184"/>
      <c r="B97" s="185"/>
      <c r="C97" s="185"/>
      <c r="D97" s="186"/>
      <c r="E97" s="186"/>
      <c r="F97" s="186"/>
      <c r="G97" s="186"/>
      <c r="H97" s="186"/>
      <c r="I97" s="187"/>
      <c r="J97" s="187"/>
    </row>
    <row r="98" spans="1:10" ht="12.75">
      <c r="A98" s="184"/>
      <c r="B98" s="185"/>
      <c r="C98" s="185"/>
      <c r="D98" s="186"/>
      <c r="E98" s="186"/>
      <c r="F98" s="186"/>
      <c r="G98" s="186"/>
      <c r="H98" s="186"/>
      <c r="I98" s="187"/>
      <c r="J98" s="187"/>
    </row>
    <row r="99" spans="1:10" ht="12.75">
      <c r="A99" s="184"/>
      <c r="B99" s="185"/>
      <c r="C99" s="185"/>
      <c r="D99" s="186"/>
      <c r="E99" s="186"/>
      <c r="F99" s="186"/>
      <c r="G99" s="186"/>
      <c r="H99" s="186"/>
      <c r="I99" s="187"/>
      <c r="J99" s="187"/>
    </row>
    <row r="100" spans="1:10" ht="12.75">
      <c r="A100" s="184"/>
      <c r="B100" s="185"/>
      <c r="C100" s="185"/>
      <c r="D100" s="186"/>
      <c r="E100" s="186"/>
      <c r="F100" s="186"/>
      <c r="G100" s="186"/>
      <c r="H100" s="186"/>
      <c r="I100" s="187"/>
      <c r="J100" s="187"/>
    </row>
    <row r="101" spans="1:10" ht="12.75">
      <c r="A101" s="184"/>
      <c r="B101" s="185"/>
      <c r="C101" s="185"/>
      <c r="D101" s="186"/>
      <c r="E101" s="186"/>
      <c r="F101" s="186"/>
      <c r="G101" s="186"/>
      <c r="H101" s="186"/>
      <c r="I101" s="187"/>
      <c r="J101" s="187"/>
    </row>
    <row r="102" spans="1:3" ht="12.75">
      <c r="A102" s="173" t="s">
        <v>133</v>
      </c>
      <c r="C102" s="174"/>
    </row>
    <row r="103" spans="1:3" ht="12.75">
      <c r="A103" s="173"/>
      <c r="C103" s="174"/>
    </row>
    <row r="104" spans="1:3" ht="12.75">
      <c r="A104" s="173"/>
      <c r="C104" s="174"/>
    </row>
    <row r="105" spans="1:3" ht="12.75">
      <c r="A105" s="176"/>
      <c r="B105" s="174"/>
      <c r="C105" s="174"/>
    </row>
    <row r="106" spans="1:3" ht="12.75">
      <c r="A106" s="176"/>
      <c r="B106" s="174"/>
      <c r="C106" s="174"/>
    </row>
    <row r="107" spans="2:3" ht="12.75">
      <c r="B107" s="174"/>
      <c r="C107" s="174"/>
    </row>
    <row r="108" spans="2:3" ht="12.75">
      <c r="B108" s="174"/>
      <c r="C108" s="174"/>
    </row>
    <row r="109" spans="2:3" ht="12.75">
      <c r="B109" s="174"/>
      <c r="C109" s="174"/>
    </row>
    <row r="110" spans="2:3" ht="12.75">
      <c r="B110" s="174"/>
      <c r="C110" s="174"/>
    </row>
    <row r="111" spans="2:3" ht="12.75">
      <c r="B111" s="174"/>
      <c r="C111" s="174"/>
    </row>
    <row r="112" spans="2:3" ht="12.75">
      <c r="B112" s="174"/>
      <c r="C112" s="174"/>
    </row>
    <row r="113" spans="2:3" ht="12.75">
      <c r="B113" s="174"/>
      <c r="C113" s="174"/>
    </row>
    <row r="114" spans="2:3" ht="12.75">
      <c r="B114" s="174"/>
      <c r="C114" s="174"/>
    </row>
    <row r="115" spans="1:3" ht="12.75">
      <c r="A115" s="173" t="s">
        <v>134</v>
      </c>
      <c r="B115" s="174" t="s">
        <v>135</v>
      </c>
      <c r="C115" s="174"/>
    </row>
    <row r="116" spans="1:3" ht="12.75">
      <c r="A116" s="173"/>
      <c r="B116" s="174"/>
      <c r="C116" s="174"/>
    </row>
    <row r="117" spans="1:3" ht="12.75">
      <c r="A117" s="173"/>
      <c r="C117" s="174"/>
    </row>
    <row r="118" spans="1:3" ht="12.75">
      <c r="A118" s="173"/>
      <c r="B118" s="174"/>
      <c r="C118" s="174"/>
    </row>
    <row r="119" spans="1:3" ht="12.75">
      <c r="A119" s="173"/>
      <c r="B119" s="174"/>
      <c r="C119" s="174"/>
    </row>
    <row r="120" spans="2:6" ht="12.75">
      <c r="B120" s="176"/>
      <c r="C120" s="10"/>
      <c r="D120" s="189"/>
      <c r="E120" s="189"/>
      <c r="F120" s="190"/>
    </row>
    <row r="121" spans="1:6" ht="12.75">
      <c r="A121" s="176"/>
      <c r="B121" s="176"/>
      <c r="C121" s="191"/>
      <c r="D121" s="189"/>
      <c r="E121" s="189"/>
      <c r="F121" s="190" t="s">
        <v>136</v>
      </c>
    </row>
    <row r="122" spans="1:6" ht="12.75">
      <c r="A122" s="176"/>
      <c r="B122" s="176"/>
      <c r="C122" s="191"/>
      <c r="D122" s="189"/>
      <c r="E122" s="189"/>
      <c r="F122" s="192" t="s">
        <v>13</v>
      </c>
    </row>
    <row r="123" spans="1:6" ht="13.5">
      <c r="A123" s="176"/>
      <c r="B123" s="176"/>
      <c r="C123" s="193" t="s">
        <v>137</v>
      </c>
      <c r="D123" s="189"/>
      <c r="E123" s="189"/>
      <c r="F123" s="190"/>
    </row>
    <row r="124" spans="1:6" ht="12.75">
      <c r="A124" s="176"/>
      <c r="B124" s="176"/>
      <c r="D124" s="189" t="s">
        <v>138</v>
      </c>
      <c r="E124" s="194"/>
      <c r="F124" s="194">
        <f>'[1]Qtr-BS (2)'!C31</f>
        <v>7454.28991</v>
      </c>
    </row>
    <row r="125" spans="1:6" ht="12.75">
      <c r="A125" s="176"/>
      <c r="B125" s="176"/>
      <c r="D125" s="195" t="s">
        <v>139</v>
      </c>
      <c r="E125" s="194"/>
      <c r="F125" s="194">
        <f>'[1]Qtr-BS (2)'!C33</f>
        <v>372.36251999999996</v>
      </c>
    </row>
    <row r="126" spans="1:6" ht="12.75">
      <c r="A126" s="176"/>
      <c r="B126" s="176"/>
      <c r="D126" s="189" t="s">
        <v>140</v>
      </c>
      <c r="E126" s="194"/>
      <c r="F126" s="182">
        <f>'[1]ConsolWPBS'!V30/1000</f>
        <v>471.59244</v>
      </c>
    </row>
    <row r="127" spans="1:6" ht="12.75">
      <c r="A127" s="176"/>
      <c r="B127" s="176"/>
      <c r="C127" s="191"/>
      <c r="D127" s="189"/>
      <c r="E127" s="194"/>
      <c r="F127" s="194">
        <f>SUM(F124:F126)</f>
        <v>8298.24487</v>
      </c>
    </row>
    <row r="128" spans="1:6" ht="12.75">
      <c r="A128" s="176"/>
      <c r="B128" s="176"/>
      <c r="C128" s="189"/>
      <c r="D128" s="189"/>
      <c r="E128" s="189"/>
      <c r="F128" s="189"/>
    </row>
    <row r="129" spans="2:6" ht="13.5">
      <c r="B129" s="176"/>
      <c r="C129" s="193" t="s">
        <v>141</v>
      </c>
      <c r="D129" s="189"/>
      <c r="E129" s="190"/>
      <c r="F129" s="190"/>
    </row>
    <row r="130" spans="2:6" ht="12.75">
      <c r="B130" s="176"/>
      <c r="D130" s="195" t="s">
        <v>139</v>
      </c>
      <c r="E130" s="190"/>
      <c r="F130" s="194">
        <f>'[1]Qtr-BS (2)'!C54</f>
        <v>450.21001</v>
      </c>
    </row>
    <row r="131" spans="1:6" ht="12.75">
      <c r="A131" s="176"/>
      <c r="B131" s="176"/>
      <c r="D131" s="189" t="s">
        <v>142</v>
      </c>
      <c r="E131" s="194"/>
      <c r="F131" s="182">
        <f>'[1]Qtr-BS (2)'!C55</f>
        <v>5102.924180000001</v>
      </c>
    </row>
    <row r="132" spans="1:6" ht="12.75">
      <c r="A132" s="176"/>
      <c r="B132" s="176"/>
      <c r="C132" s="191"/>
      <c r="D132" s="189"/>
      <c r="E132" s="194"/>
      <c r="F132" s="194"/>
    </row>
    <row r="133" spans="1:6" ht="12.75">
      <c r="A133" s="176"/>
      <c r="B133" s="176"/>
      <c r="C133" s="176"/>
      <c r="E133" s="127" t="s">
        <v>68</v>
      </c>
      <c r="F133" s="196">
        <f>SUM(F127:F131)</f>
        <v>13851.379060000003</v>
      </c>
    </row>
    <row r="134" spans="1:6" ht="12.75">
      <c r="A134" s="176"/>
      <c r="B134" s="176"/>
      <c r="C134" s="176"/>
      <c r="E134" s="174"/>
      <c r="F134" s="197"/>
    </row>
    <row r="135" spans="1:6" ht="12.75">
      <c r="A135" s="176"/>
      <c r="B135" s="176"/>
      <c r="C135" s="176"/>
      <c r="E135" s="174"/>
      <c r="F135" s="197"/>
    </row>
    <row r="136" spans="1:3" ht="12.75">
      <c r="A136" s="173" t="s">
        <v>143</v>
      </c>
      <c r="B136" s="174" t="s">
        <v>144</v>
      </c>
      <c r="C136" s="174"/>
    </row>
    <row r="137" spans="1:3" ht="12.75">
      <c r="A137" s="173"/>
      <c r="B137" s="174"/>
      <c r="C137" s="174"/>
    </row>
    <row r="138" spans="1:3" ht="12.75">
      <c r="A138" s="173"/>
      <c r="B138" s="174"/>
      <c r="C138" s="174"/>
    </row>
    <row r="139" ht="12.75">
      <c r="A139" s="173"/>
    </row>
    <row r="140" ht="12.75">
      <c r="A140" s="173"/>
    </row>
    <row r="141" spans="1:3" ht="12.75">
      <c r="A141" s="173" t="s">
        <v>145</v>
      </c>
      <c r="B141" s="174" t="s">
        <v>146</v>
      </c>
      <c r="C141" s="174"/>
    </row>
    <row r="142" spans="1:3" ht="12.75">
      <c r="A142" s="173"/>
      <c r="B142" s="174"/>
      <c r="C142" s="174"/>
    </row>
    <row r="143" spans="1:3" ht="12.75">
      <c r="A143" s="173"/>
      <c r="B143" s="174"/>
      <c r="C143" s="174"/>
    </row>
    <row r="144" spans="1:3" ht="12.75">
      <c r="A144" s="173"/>
      <c r="B144" s="174"/>
      <c r="C144" s="174"/>
    </row>
    <row r="145" ht="12.75">
      <c r="A145" s="173"/>
    </row>
    <row r="146" spans="1:3" ht="12.75">
      <c r="A146" s="173" t="s">
        <v>147</v>
      </c>
      <c r="B146" s="174" t="s">
        <v>148</v>
      </c>
      <c r="C146" s="174"/>
    </row>
    <row r="147" spans="2:3" ht="12.75">
      <c r="B147" s="174"/>
      <c r="C147" s="174"/>
    </row>
    <row r="148" spans="2:3" ht="12.75">
      <c r="B148" s="174"/>
      <c r="C148" s="174"/>
    </row>
    <row r="149" spans="2:3" ht="12.75">
      <c r="B149" s="174"/>
      <c r="C149" s="174"/>
    </row>
    <row r="150" spans="2:3" ht="12.75">
      <c r="B150" s="174"/>
      <c r="C150" s="174"/>
    </row>
    <row r="151" spans="1:8" ht="12.75">
      <c r="A151" s="175" t="s">
        <v>149</v>
      </c>
      <c r="B151" s="174" t="s">
        <v>150</v>
      </c>
      <c r="C151" s="174"/>
      <c r="E151" s="177"/>
      <c r="F151" s="177"/>
      <c r="G151" s="177"/>
      <c r="H151" s="177"/>
    </row>
    <row r="152" spans="1:8" ht="12.75">
      <c r="A152" s="175"/>
      <c r="B152" s="174"/>
      <c r="C152" s="174"/>
      <c r="E152" s="177"/>
      <c r="F152" s="177"/>
      <c r="G152" s="177"/>
      <c r="H152" s="177"/>
    </row>
    <row r="153" spans="2:8" ht="12.75">
      <c r="B153" s="174"/>
      <c r="C153" s="174"/>
      <c r="E153" s="177"/>
      <c r="F153" s="177"/>
      <c r="G153" s="177"/>
      <c r="H153" s="177"/>
    </row>
    <row r="154" spans="2:8" ht="12.75">
      <c r="B154" s="174"/>
      <c r="C154" s="174"/>
      <c r="E154" s="177"/>
      <c r="F154" s="177"/>
      <c r="G154" s="177"/>
      <c r="H154" s="177"/>
    </row>
    <row r="155" spans="2:8" ht="12.75">
      <c r="B155" s="174"/>
      <c r="C155" s="174"/>
      <c r="E155" s="177"/>
      <c r="F155" s="177"/>
      <c r="G155" s="177"/>
      <c r="H155" s="177"/>
    </row>
    <row r="156" spans="5:8" ht="12.75">
      <c r="E156" s="177"/>
      <c r="F156" s="177"/>
      <c r="G156" s="177"/>
      <c r="H156" s="177"/>
    </row>
    <row r="157" spans="1:3" ht="12.75">
      <c r="A157" s="173" t="s">
        <v>151</v>
      </c>
      <c r="B157" s="174" t="s">
        <v>152</v>
      </c>
      <c r="C157" s="174"/>
    </row>
    <row r="158" spans="2:3" ht="12.75">
      <c r="B158" s="174"/>
      <c r="C158" s="174"/>
    </row>
    <row r="159" spans="1:3" ht="12.75">
      <c r="A159" s="173"/>
      <c r="B159" s="174"/>
      <c r="C159" s="174"/>
    </row>
    <row r="160" spans="1:3" ht="12.75">
      <c r="A160" s="173"/>
      <c r="B160" s="174"/>
      <c r="C160" s="174"/>
    </row>
    <row r="161" spans="2:3" ht="12.75">
      <c r="B161" s="174"/>
      <c r="C161" s="174"/>
    </row>
    <row r="162" spans="1:3" ht="12.75">
      <c r="A162" s="198"/>
      <c r="B162" s="174"/>
      <c r="C162" s="174"/>
    </row>
    <row r="163" spans="2:3" ht="12.75">
      <c r="B163" s="174"/>
      <c r="C163" s="174"/>
    </row>
    <row r="164" spans="1:3" ht="12.75">
      <c r="A164" s="173"/>
      <c r="B164" s="174"/>
      <c r="C164" s="174"/>
    </row>
    <row r="165" spans="1:3" ht="12.75">
      <c r="A165" s="173"/>
      <c r="B165" s="174"/>
      <c r="C165" s="174"/>
    </row>
    <row r="166" spans="1:3" ht="12.75">
      <c r="A166" s="173" t="s">
        <v>153</v>
      </c>
      <c r="B166" s="174" t="s">
        <v>154</v>
      </c>
      <c r="C166" s="174"/>
    </row>
    <row r="167" spans="2:3" ht="12.75">
      <c r="B167" s="174"/>
      <c r="C167" s="174"/>
    </row>
    <row r="168" spans="2:3" ht="12.75">
      <c r="B168" s="174"/>
      <c r="C168" s="174"/>
    </row>
    <row r="169" spans="2:9" ht="12.75">
      <c r="B169" s="174"/>
      <c r="C169" s="174"/>
      <c r="I169" s="178"/>
    </row>
    <row r="170" spans="2:3" ht="12.75">
      <c r="B170" s="174"/>
      <c r="C170" s="174"/>
    </row>
    <row r="171" spans="2:3" ht="12.75">
      <c r="B171" s="174"/>
      <c r="C171" s="174"/>
    </row>
    <row r="172" spans="2:3" ht="12.75">
      <c r="B172" s="174"/>
      <c r="C172" s="174"/>
    </row>
    <row r="173" spans="1:3" ht="12.75">
      <c r="A173" s="173" t="s">
        <v>155</v>
      </c>
      <c r="B173" s="174" t="s">
        <v>156</v>
      </c>
      <c r="C173" s="174"/>
    </row>
    <row r="174" spans="1:3" ht="12.75">
      <c r="A174" s="173"/>
      <c r="B174" s="174"/>
      <c r="C174" s="174"/>
    </row>
    <row r="175" spans="1:3" ht="12.75">
      <c r="A175" s="173"/>
      <c r="B175" s="174"/>
      <c r="C175" s="174"/>
    </row>
    <row r="176" spans="1:3" ht="12.75">
      <c r="A176" s="173"/>
      <c r="B176" s="174"/>
      <c r="C176" s="174"/>
    </row>
    <row r="177" spans="1:3" ht="12.75">
      <c r="A177" s="173"/>
      <c r="B177" s="174"/>
      <c r="C177" s="174"/>
    </row>
    <row r="178" spans="1:10" ht="12.75">
      <c r="A178" s="173"/>
      <c r="B178" s="199"/>
      <c r="C178" s="199"/>
      <c r="D178" s="200"/>
      <c r="E178" s="200"/>
      <c r="F178" s="200"/>
      <c r="G178" s="200"/>
      <c r="H178" s="200"/>
      <c r="I178" s="201"/>
      <c r="J178" s="201"/>
    </row>
    <row r="179" spans="1:3" ht="12.75">
      <c r="A179" s="173" t="s">
        <v>157</v>
      </c>
      <c r="B179" s="174" t="s">
        <v>158</v>
      </c>
      <c r="C179" s="174"/>
    </row>
    <row r="180" spans="1:3" ht="12.75">
      <c r="A180" s="176"/>
      <c r="B180" s="174"/>
      <c r="C180" s="174"/>
    </row>
    <row r="181" spans="2:3" ht="12.75">
      <c r="B181" s="174"/>
      <c r="C181" s="174"/>
    </row>
    <row r="182" spans="1:3" ht="12.75">
      <c r="A182" s="173"/>
      <c r="B182" s="174"/>
      <c r="C182" s="174"/>
    </row>
    <row r="183" spans="1:3" ht="12.75">
      <c r="A183" s="173"/>
      <c r="B183" s="174"/>
      <c r="C183" s="174"/>
    </row>
    <row r="184" spans="1:3" ht="12.75">
      <c r="A184" s="175" t="s">
        <v>159</v>
      </c>
      <c r="B184" s="174" t="s">
        <v>160</v>
      </c>
      <c r="C184" s="174"/>
    </row>
    <row r="185" spans="2:3" ht="12.75">
      <c r="B185" s="174"/>
      <c r="C185" s="174"/>
    </row>
    <row r="186" spans="2:3" ht="12.75">
      <c r="B186" s="174"/>
      <c r="C186" s="174"/>
    </row>
    <row r="187" spans="2:3" ht="12.75">
      <c r="B187" s="174"/>
      <c r="C187" s="174"/>
    </row>
    <row r="188" spans="2:3" ht="12.75">
      <c r="B188" s="174"/>
      <c r="C188" s="174"/>
    </row>
    <row r="189" spans="2:3" ht="12.75">
      <c r="B189" s="174"/>
      <c r="C189" s="174"/>
    </row>
    <row r="190" spans="1:10" ht="12.75">
      <c r="A190" s="175" t="s">
        <v>161</v>
      </c>
      <c r="B190" s="174" t="s">
        <v>162</v>
      </c>
      <c r="C190" s="174"/>
      <c r="E190" s="202"/>
      <c r="I190" s="178"/>
      <c r="J190" s="178"/>
    </row>
    <row r="191" spans="2:10" ht="12.75">
      <c r="B191" s="174"/>
      <c r="C191" s="174"/>
      <c r="E191" s="202"/>
      <c r="I191" s="178"/>
      <c r="J191" s="178"/>
    </row>
    <row r="192" spans="1:10" ht="12.75">
      <c r="A192" s="173"/>
      <c r="B192" s="174"/>
      <c r="C192" s="174"/>
      <c r="I192" s="178"/>
      <c r="J192" s="178"/>
    </row>
    <row r="193" spans="1:10" ht="12.75">
      <c r="A193" s="176"/>
      <c r="I193" s="178"/>
      <c r="J193" s="178"/>
    </row>
    <row r="194" spans="1:10" ht="12.75">
      <c r="A194" s="176"/>
      <c r="I194" s="178"/>
      <c r="J194" s="178"/>
    </row>
    <row r="195" spans="1:10" ht="12.75">
      <c r="A195" s="176"/>
      <c r="I195" s="178"/>
      <c r="J195" s="178"/>
    </row>
    <row r="196" spans="1:10" ht="12.75">
      <c r="A196" s="176"/>
      <c r="I196" s="178"/>
      <c r="J196" s="178"/>
    </row>
    <row r="197" spans="1:10" ht="12.75">
      <c r="A197" s="176"/>
      <c r="I197" s="178"/>
      <c r="J197" s="178"/>
    </row>
    <row r="198" spans="1:6" ht="12.75">
      <c r="A198" s="174"/>
      <c r="B198" s="176"/>
      <c r="E198" s="203"/>
      <c r="F198" s="203"/>
    </row>
    <row r="199" spans="1:5" ht="12.75">
      <c r="A199" s="174" t="s">
        <v>163</v>
      </c>
      <c r="B199" s="176"/>
      <c r="D199" s="203"/>
      <c r="E199" s="203"/>
    </row>
    <row r="200" spans="1:5" ht="33.75" customHeight="1">
      <c r="A200" s="174"/>
      <c r="B200" s="176"/>
      <c r="D200" s="203"/>
      <c r="E200" s="203"/>
    </row>
    <row r="201" spans="1:10" ht="12.75">
      <c r="A201" s="127" t="s">
        <v>164</v>
      </c>
      <c r="B201" s="176"/>
      <c r="C201" s="176"/>
      <c r="I201" s="178"/>
      <c r="J201" s="178"/>
    </row>
    <row r="202" spans="1:3" ht="12.75">
      <c r="A202" s="127" t="s">
        <v>165</v>
      </c>
      <c r="B202" s="176"/>
      <c r="C202" s="176"/>
    </row>
    <row r="203" spans="2:3" ht="12.75">
      <c r="B203" s="176"/>
      <c r="C203" s="176"/>
    </row>
    <row r="204" spans="1:3" ht="12.75">
      <c r="A204" s="127" t="s">
        <v>166</v>
      </c>
      <c r="B204" s="176"/>
      <c r="C204" s="176"/>
    </row>
    <row r="205" spans="1:3" ht="12.75">
      <c r="A205" s="176"/>
      <c r="B205" s="176"/>
      <c r="C205" s="176"/>
    </row>
    <row r="206" spans="1:3" ht="12.75">
      <c r="A206" s="176"/>
      <c r="B206" s="176"/>
      <c r="C206" s="176"/>
    </row>
    <row r="207" spans="1:3" ht="12.75">
      <c r="A207" s="176"/>
      <c r="B207" s="176"/>
      <c r="C207" s="176"/>
    </row>
    <row r="208" spans="1:3" ht="12.75">
      <c r="A208" s="176"/>
      <c r="B208" s="176"/>
      <c r="C208" s="176"/>
    </row>
    <row r="209" spans="1:3" ht="12.75">
      <c r="A209" s="176"/>
      <c r="B209" s="176"/>
      <c r="C209" s="176"/>
    </row>
    <row r="210" spans="1:3" ht="12.75">
      <c r="A210" s="176"/>
      <c r="B210" s="176"/>
      <c r="C210" s="176"/>
    </row>
    <row r="211" spans="1:3" ht="12.75">
      <c r="A211" s="176"/>
      <c r="B211" s="176"/>
      <c r="C211" s="176"/>
    </row>
    <row r="212" spans="1:3" ht="12.75">
      <c r="A212" s="176"/>
      <c r="B212" s="176"/>
      <c r="C212" s="176"/>
    </row>
    <row r="213" spans="1:3" ht="12.75">
      <c r="A213" s="176"/>
      <c r="B213" s="176"/>
      <c r="C213" s="176"/>
    </row>
    <row r="214" spans="1:3" ht="12.75">
      <c r="A214" s="176"/>
      <c r="B214" s="176"/>
      <c r="C214" s="176"/>
    </row>
    <row r="215" spans="1:3" ht="12.75">
      <c r="A215" s="176"/>
      <c r="B215" s="176"/>
      <c r="C215" s="176"/>
    </row>
    <row r="216" spans="1:3" ht="12.75">
      <c r="A216" s="176"/>
      <c r="B216" s="176"/>
      <c r="C216" s="176"/>
    </row>
    <row r="217" spans="1:3" ht="12.75">
      <c r="A217" s="176"/>
      <c r="B217" s="176"/>
      <c r="C217" s="176"/>
    </row>
    <row r="218" spans="1:3" ht="12.75">
      <c r="A218" s="176"/>
      <c r="B218" s="176"/>
      <c r="C218" s="176"/>
    </row>
    <row r="219" spans="1:3" ht="12.75">
      <c r="A219" s="176"/>
      <c r="B219" s="176"/>
      <c r="C219" s="176"/>
    </row>
    <row r="220" spans="1:3" ht="12.75">
      <c r="A220" s="176"/>
      <c r="B220" s="176"/>
      <c r="C220" s="176"/>
    </row>
    <row r="221" spans="1:3" ht="12.75">
      <c r="A221" s="176"/>
      <c r="B221" s="176"/>
      <c r="C221" s="176"/>
    </row>
    <row r="222" spans="1:3" ht="12.75">
      <c r="A222" s="176"/>
      <c r="B222" s="176"/>
      <c r="C222" s="176"/>
    </row>
    <row r="223" spans="1:3" ht="12.75">
      <c r="A223" s="176"/>
      <c r="B223" s="176"/>
      <c r="C223" s="176"/>
    </row>
    <row r="224" spans="1:3" ht="12.75">
      <c r="A224" s="176"/>
      <c r="B224" s="176"/>
      <c r="C224" s="176"/>
    </row>
    <row r="225" spans="1:3" ht="12.75">
      <c r="A225" s="176"/>
      <c r="B225" s="176"/>
      <c r="C225" s="176"/>
    </row>
    <row r="226" spans="1:3" ht="12.75">
      <c r="A226" s="176"/>
      <c r="B226" s="176"/>
      <c r="C226" s="176"/>
    </row>
  </sheetData>
  <mergeCells count="1">
    <mergeCell ref="A1:H1"/>
  </mergeCells>
  <printOptions/>
  <pageMargins left="0.75" right="0.75" top="1.26" bottom="0.55" header="0.35" footer="0.39"/>
  <pageSetup horizontalDpi="600" verticalDpi="600" orientation="portrait" paperSize="9" r:id="rId2"/>
  <headerFooter alignWithMargins="0">
    <oddHeader>&amp;L&amp;"Times New Roman,Bold"&amp;14DeGem Berhad &amp;10(Company No 415726-T)
Quarterly Report On Consolidated Results 
For The Third Financial Quarter Ended 30 September 2002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Aerospeed</cp:lastModifiedBy>
  <cp:lastPrinted>2002-11-20T10:28:47Z</cp:lastPrinted>
  <dcterms:created xsi:type="dcterms:W3CDTF">2002-11-20T06:46:28Z</dcterms:created>
  <dcterms:modified xsi:type="dcterms:W3CDTF">2002-11-20T10:32:09Z</dcterms:modified>
  <cp:category/>
  <cp:version/>
  <cp:contentType/>
  <cp:contentStatus/>
</cp:coreProperties>
</file>